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ta72959\Documents\Účtovníctvo\rozpocet\2026\cerpanie\"/>
    </mc:Choice>
  </mc:AlternateContent>
  <xr:revisionPtr revIDLastSave="0" documentId="13_ncr:1_{75E2F2F6-7CAE-4545-8714-D1363A6D4CA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ríjmy" sheetId="1" r:id="rId1"/>
    <sheet name="výdaje" sheetId="2" r:id="rId2"/>
    <sheet name="skratky" sheetId="3" r:id="rId3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628" i="2" l="1"/>
  <c r="L628" i="2"/>
  <c r="Z627" i="2"/>
  <c r="Y627" i="2"/>
  <c r="Y628" i="2" s="1"/>
  <c r="W627" i="2"/>
  <c r="W628" i="2" s="1"/>
  <c r="U627" i="2"/>
  <c r="U628" i="2" s="1"/>
  <c r="S627" i="2"/>
  <c r="S628" i="2" s="1"/>
  <c r="Q627" i="2"/>
  <c r="Q628" i="2" s="1"/>
  <c r="O627" i="2"/>
  <c r="O628" i="2" s="1"/>
  <c r="N627" i="2"/>
  <c r="M627" i="2"/>
  <c r="M628" i="2" s="1"/>
  <c r="L627" i="2"/>
  <c r="K627" i="2"/>
  <c r="K628" i="2" s="1"/>
  <c r="J627" i="2"/>
  <c r="I627" i="2"/>
  <c r="I628" i="2" s="1"/>
  <c r="H627" i="2"/>
  <c r="G627" i="2"/>
  <c r="G628" i="2" s="1"/>
  <c r="P626" i="2"/>
  <c r="Y622" i="2"/>
  <c r="S622" i="2"/>
  <c r="Q622" i="2"/>
  <c r="K622" i="2"/>
  <c r="I622" i="2"/>
  <c r="Y621" i="2"/>
  <c r="W621" i="2"/>
  <c r="U621" i="2"/>
  <c r="S621" i="2"/>
  <c r="Q621" i="2"/>
  <c r="O621" i="2"/>
  <c r="O622" i="2" s="1"/>
  <c r="N621" i="2"/>
  <c r="N622" i="2" s="1"/>
  <c r="M621" i="2"/>
  <c r="M622" i="2" s="1"/>
  <c r="L621" i="2"/>
  <c r="L622" i="2" s="1"/>
  <c r="K621" i="2"/>
  <c r="I621" i="2"/>
  <c r="G621" i="2"/>
  <c r="G622" i="2" s="1"/>
  <c r="V617" i="2"/>
  <c r="P617" i="2"/>
  <c r="R617" i="2" s="1"/>
  <c r="U614" i="2"/>
  <c r="S614" i="2"/>
  <c r="N614" i="2"/>
  <c r="M614" i="2"/>
  <c r="K614" i="2"/>
  <c r="H614" i="2"/>
  <c r="Z613" i="2"/>
  <c r="Z614" i="2" s="1"/>
  <c r="Y613" i="2"/>
  <c r="Y614" i="2" s="1"/>
  <c r="W613" i="2"/>
  <c r="U613" i="2"/>
  <c r="S613" i="2"/>
  <c r="Q613" i="2"/>
  <c r="Q614" i="2" s="1"/>
  <c r="O613" i="2"/>
  <c r="O614" i="2" s="1"/>
  <c r="N613" i="2"/>
  <c r="M613" i="2"/>
  <c r="L613" i="2"/>
  <c r="L614" i="2" s="1"/>
  <c r="K613" i="2"/>
  <c r="J613" i="2"/>
  <c r="I613" i="2"/>
  <c r="I614" i="2" s="1"/>
  <c r="H613" i="2"/>
  <c r="G613" i="2"/>
  <c r="G614" i="2" s="1"/>
  <c r="P609" i="2"/>
  <c r="T608" i="2"/>
  <c r="P608" i="2"/>
  <c r="V608" i="2" s="1"/>
  <c r="Z605" i="2"/>
  <c r="U605" i="2"/>
  <c r="S605" i="2"/>
  <c r="M605" i="2"/>
  <c r="K605" i="2"/>
  <c r="J605" i="2"/>
  <c r="H605" i="2"/>
  <c r="Z604" i="2"/>
  <c r="Y604" i="2"/>
  <c r="Y605" i="2" s="1"/>
  <c r="W604" i="2"/>
  <c r="U604" i="2"/>
  <c r="T604" i="2"/>
  <c r="S604" i="2"/>
  <c r="Q604" i="2"/>
  <c r="O604" i="2"/>
  <c r="O605" i="2" s="1"/>
  <c r="N604" i="2"/>
  <c r="N605" i="2" s="1"/>
  <c r="M604" i="2"/>
  <c r="L604" i="2"/>
  <c r="L605" i="2" s="1"/>
  <c r="K604" i="2"/>
  <c r="J604" i="2"/>
  <c r="I604" i="2"/>
  <c r="I605" i="2" s="1"/>
  <c r="H604" i="2"/>
  <c r="G604" i="2"/>
  <c r="G605" i="2" s="1"/>
  <c r="X603" i="2"/>
  <c r="T603" i="2"/>
  <c r="P603" i="2"/>
  <c r="P604" i="2" s="1"/>
  <c r="P605" i="2" s="1"/>
  <c r="X599" i="2"/>
  <c r="T599" i="2"/>
  <c r="R599" i="2"/>
  <c r="P599" i="2"/>
  <c r="V599" i="2" s="1"/>
  <c r="X598" i="2"/>
  <c r="T598" i="2"/>
  <c r="R598" i="2"/>
  <c r="P598" i="2"/>
  <c r="V598" i="2" s="1"/>
  <c r="X597" i="2"/>
  <c r="V597" i="2"/>
  <c r="T597" i="2"/>
  <c r="R597" i="2"/>
  <c r="P597" i="2"/>
  <c r="P596" i="2"/>
  <c r="V595" i="2"/>
  <c r="P595" i="2"/>
  <c r="R595" i="2" s="1"/>
  <c r="S592" i="2"/>
  <c r="N592" i="2"/>
  <c r="K592" i="2"/>
  <c r="H592" i="2"/>
  <c r="X591" i="2"/>
  <c r="T591" i="2"/>
  <c r="R591" i="2"/>
  <c r="P591" i="2"/>
  <c r="V591" i="2" s="1"/>
  <c r="Z590" i="2"/>
  <c r="Y590" i="2"/>
  <c r="W590" i="2"/>
  <c r="U590" i="2"/>
  <c r="U592" i="2" s="1"/>
  <c r="S590" i="2"/>
  <c r="Q590" i="2"/>
  <c r="O590" i="2"/>
  <c r="O592" i="2" s="1"/>
  <c r="N590" i="2"/>
  <c r="M590" i="2"/>
  <c r="M592" i="2" s="1"/>
  <c r="L590" i="2"/>
  <c r="L592" i="2" s="1"/>
  <c r="K590" i="2"/>
  <c r="J590" i="2"/>
  <c r="J592" i="2" s="1"/>
  <c r="I590" i="2"/>
  <c r="I592" i="2" s="1"/>
  <c r="H590" i="2"/>
  <c r="G590" i="2"/>
  <c r="G592" i="2" s="1"/>
  <c r="Z589" i="2"/>
  <c r="Z592" i="2" s="1"/>
  <c r="Y589" i="2"/>
  <c r="Y592" i="2" s="1"/>
  <c r="X589" i="2"/>
  <c r="T589" i="2"/>
  <c r="R589" i="2"/>
  <c r="P589" i="2"/>
  <c r="V589" i="2" s="1"/>
  <c r="X585" i="2"/>
  <c r="T585" i="2"/>
  <c r="R585" i="2"/>
  <c r="P585" i="2"/>
  <c r="V585" i="2" s="1"/>
  <c r="X584" i="2"/>
  <c r="V584" i="2"/>
  <c r="T584" i="2"/>
  <c r="R584" i="2"/>
  <c r="P584" i="2"/>
  <c r="P583" i="2"/>
  <c r="V582" i="2"/>
  <c r="P582" i="2"/>
  <c r="R582" i="2" s="1"/>
  <c r="P581" i="2"/>
  <c r="T580" i="2"/>
  <c r="P580" i="2"/>
  <c r="V580" i="2" s="1"/>
  <c r="X579" i="2"/>
  <c r="T579" i="2"/>
  <c r="K579" i="2"/>
  <c r="P579" i="2" s="1"/>
  <c r="T578" i="2"/>
  <c r="P578" i="2"/>
  <c r="U575" i="2"/>
  <c r="S575" i="2"/>
  <c r="N575" i="2"/>
  <c r="M575" i="2"/>
  <c r="H575" i="2"/>
  <c r="Z574" i="2"/>
  <c r="Z575" i="2" s="1"/>
  <c r="Y574" i="2"/>
  <c r="Y575" i="2" s="1"/>
  <c r="W574" i="2"/>
  <c r="U574" i="2"/>
  <c r="S574" i="2"/>
  <c r="Q574" i="2"/>
  <c r="O574" i="2"/>
  <c r="O575" i="2" s="1"/>
  <c r="N574" i="2"/>
  <c r="M574" i="2"/>
  <c r="L574" i="2"/>
  <c r="L575" i="2" s="1"/>
  <c r="J574" i="2"/>
  <c r="J575" i="2" s="1"/>
  <c r="I574" i="2"/>
  <c r="I575" i="2" s="1"/>
  <c r="H574" i="2"/>
  <c r="G574" i="2"/>
  <c r="G575" i="2" s="1"/>
  <c r="K573" i="2"/>
  <c r="V569" i="2"/>
  <c r="P569" i="2"/>
  <c r="R569" i="2" s="1"/>
  <c r="P568" i="2"/>
  <c r="T567" i="2"/>
  <c r="P567" i="2"/>
  <c r="V567" i="2" s="1"/>
  <c r="X566" i="2"/>
  <c r="T566" i="2"/>
  <c r="P566" i="2"/>
  <c r="V566" i="2" s="1"/>
  <c r="X565" i="2"/>
  <c r="T565" i="2"/>
  <c r="R565" i="2"/>
  <c r="P565" i="2"/>
  <c r="V565" i="2" s="1"/>
  <c r="Z562" i="2"/>
  <c r="W562" i="2"/>
  <c r="U562" i="2"/>
  <c r="O562" i="2"/>
  <c r="M562" i="2"/>
  <c r="L562" i="2"/>
  <c r="J562" i="2"/>
  <c r="G562" i="2"/>
  <c r="Z561" i="2"/>
  <c r="Y561" i="2"/>
  <c r="Y562" i="2" s="1"/>
  <c r="W561" i="2"/>
  <c r="U561" i="2"/>
  <c r="S561" i="2"/>
  <c r="Q561" i="2"/>
  <c r="P561" i="2"/>
  <c r="O561" i="2"/>
  <c r="N561" i="2"/>
  <c r="N562" i="2" s="1"/>
  <c r="M561" i="2"/>
  <c r="L561" i="2"/>
  <c r="K561" i="2"/>
  <c r="J561" i="2"/>
  <c r="I561" i="2"/>
  <c r="I562" i="2" s="1"/>
  <c r="H561" i="2"/>
  <c r="G561" i="2"/>
  <c r="X560" i="2"/>
  <c r="K560" i="2"/>
  <c r="P560" i="2" s="1"/>
  <c r="X556" i="2"/>
  <c r="T556" i="2"/>
  <c r="P556" i="2"/>
  <c r="V556" i="2" s="1"/>
  <c r="X555" i="2"/>
  <c r="T555" i="2"/>
  <c r="R555" i="2"/>
  <c r="P555" i="2"/>
  <c r="V555" i="2" s="1"/>
  <c r="X554" i="2"/>
  <c r="T554" i="2"/>
  <c r="R554" i="2"/>
  <c r="P554" i="2"/>
  <c r="V554" i="2" s="1"/>
  <c r="Q551" i="2"/>
  <c r="J551" i="2"/>
  <c r="I551" i="2"/>
  <c r="G551" i="2"/>
  <c r="U550" i="2"/>
  <c r="U521" i="2" s="1"/>
  <c r="S550" i="2"/>
  <c r="Q550" i="2"/>
  <c r="M550" i="2"/>
  <c r="M521" i="2" s="1"/>
  <c r="M523" i="2" s="1"/>
  <c r="K550" i="2"/>
  <c r="K551" i="2" s="1"/>
  <c r="J550" i="2"/>
  <c r="I550" i="2"/>
  <c r="H550" i="2"/>
  <c r="H551" i="2" s="1"/>
  <c r="G550" i="2"/>
  <c r="Z549" i="2"/>
  <c r="Y549" i="2"/>
  <c r="W549" i="2"/>
  <c r="U549" i="2"/>
  <c r="S549" i="2"/>
  <c r="O549" i="2"/>
  <c r="O550" i="2" s="1"/>
  <c r="O551" i="2" s="1"/>
  <c r="N549" i="2"/>
  <c r="M549" i="2"/>
  <c r="M551" i="2" s="1"/>
  <c r="L549" i="2"/>
  <c r="L550" i="2" s="1"/>
  <c r="X545" i="2"/>
  <c r="T545" i="2"/>
  <c r="R545" i="2"/>
  <c r="P545" i="2"/>
  <c r="V545" i="2" s="1"/>
  <c r="X544" i="2"/>
  <c r="R544" i="2"/>
  <c r="P544" i="2"/>
  <c r="T544" i="2" s="1"/>
  <c r="X543" i="2"/>
  <c r="V543" i="2"/>
  <c r="T543" i="2"/>
  <c r="R543" i="2"/>
  <c r="P543" i="2"/>
  <c r="P542" i="2"/>
  <c r="V541" i="2"/>
  <c r="P541" i="2"/>
  <c r="R541" i="2" s="1"/>
  <c r="T540" i="2"/>
  <c r="P540" i="2"/>
  <c r="U537" i="2"/>
  <c r="S537" i="2"/>
  <c r="M537" i="2"/>
  <c r="K537" i="2"/>
  <c r="H537" i="2"/>
  <c r="Z536" i="2"/>
  <c r="Z537" i="2" s="1"/>
  <c r="Y536" i="2"/>
  <c r="Y537" i="2" s="1"/>
  <c r="W536" i="2"/>
  <c r="U536" i="2"/>
  <c r="S536" i="2"/>
  <c r="Q536" i="2"/>
  <c r="O536" i="2"/>
  <c r="O537" i="2" s="1"/>
  <c r="N536" i="2"/>
  <c r="N537" i="2" s="1"/>
  <c r="M536" i="2"/>
  <c r="L536" i="2"/>
  <c r="L537" i="2" s="1"/>
  <c r="K536" i="2"/>
  <c r="J536" i="2"/>
  <c r="J537" i="2" s="1"/>
  <c r="I536" i="2"/>
  <c r="I537" i="2" s="1"/>
  <c r="H536" i="2"/>
  <c r="G536" i="2"/>
  <c r="G537" i="2" s="1"/>
  <c r="T535" i="2"/>
  <c r="P535" i="2"/>
  <c r="V535" i="2" s="1"/>
  <c r="X531" i="2"/>
  <c r="T531" i="2"/>
  <c r="P531" i="2"/>
  <c r="V531" i="2" s="1"/>
  <c r="Z528" i="2"/>
  <c r="W528" i="2"/>
  <c r="U528" i="2"/>
  <c r="O528" i="2"/>
  <c r="M528" i="2"/>
  <c r="J528" i="2"/>
  <c r="H528" i="2"/>
  <c r="G528" i="2"/>
  <c r="Z527" i="2"/>
  <c r="Y527" i="2"/>
  <c r="W527" i="2"/>
  <c r="U527" i="2"/>
  <c r="S527" i="2"/>
  <c r="Q527" i="2"/>
  <c r="O527" i="2"/>
  <c r="N527" i="2"/>
  <c r="N528" i="2" s="1"/>
  <c r="M527" i="2"/>
  <c r="L527" i="2"/>
  <c r="L528" i="2" s="1"/>
  <c r="K527" i="2"/>
  <c r="J527" i="2"/>
  <c r="I527" i="2"/>
  <c r="H527" i="2"/>
  <c r="G527" i="2"/>
  <c r="Z522" i="2"/>
  <c r="Y522" i="2"/>
  <c r="W522" i="2"/>
  <c r="X522" i="2" s="1"/>
  <c r="V522" i="2"/>
  <c r="U522" i="2"/>
  <c r="S522" i="2"/>
  <c r="T522" i="2" s="1"/>
  <c r="Q522" i="2"/>
  <c r="R522" i="2" s="1"/>
  <c r="P522" i="2"/>
  <c r="O522" i="2"/>
  <c r="N522" i="2"/>
  <c r="M522" i="2"/>
  <c r="L522" i="2"/>
  <c r="K522" i="2"/>
  <c r="J522" i="2"/>
  <c r="I522" i="2"/>
  <c r="H522" i="2"/>
  <c r="G522" i="2"/>
  <c r="Z520" i="2"/>
  <c r="U520" i="2"/>
  <c r="S520" i="2"/>
  <c r="Q520" i="2"/>
  <c r="O520" i="2"/>
  <c r="M520" i="2"/>
  <c r="L520" i="2"/>
  <c r="J520" i="2"/>
  <c r="I520" i="2"/>
  <c r="H520" i="2"/>
  <c r="G520" i="2"/>
  <c r="Y516" i="2"/>
  <c r="Z516" i="2" s="1"/>
  <c r="X516" i="2"/>
  <c r="V516" i="2"/>
  <c r="T516" i="2"/>
  <c r="R516" i="2"/>
  <c r="P516" i="2"/>
  <c r="Y515" i="2"/>
  <c r="Z515" i="2" s="1"/>
  <c r="P515" i="2"/>
  <c r="Y514" i="2"/>
  <c r="Z514" i="2" s="1"/>
  <c r="V514" i="2"/>
  <c r="R514" i="2"/>
  <c r="P514" i="2"/>
  <c r="X514" i="2" s="1"/>
  <c r="Z513" i="2"/>
  <c r="Y513" i="2"/>
  <c r="P513" i="2"/>
  <c r="S511" i="2"/>
  <c r="Q511" i="2"/>
  <c r="I511" i="2"/>
  <c r="W510" i="2"/>
  <c r="U510" i="2"/>
  <c r="S510" i="2"/>
  <c r="Q510" i="2"/>
  <c r="O510" i="2"/>
  <c r="N510" i="2"/>
  <c r="M510" i="2"/>
  <c r="M454" i="2" s="1"/>
  <c r="L510" i="2"/>
  <c r="K510" i="2"/>
  <c r="J510" i="2"/>
  <c r="I510" i="2"/>
  <c r="H510" i="2"/>
  <c r="G510" i="2"/>
  <c r="Y509" i="2"/>
  <c r="T509" i="2"/>
  <c r="R509" i="2"/>
  <c r="P509" i="2"/>
  <c r="V509" i="2" s="1"/>
  <c r="W508" i="2"/>
  <c r="U508" i="2"/>
  <c r="S508" i="2"/>
  <c r="Q508" i="2"/>
  <c r="P508" i="2"/>
  <c r="O508" i="2"/>
  <c r="O511" i="2" s="1"/>
  <c r="N508" i="2"/>
  <c r="N511" i="2" s="1"/>
  <c r="M508" i="2"/>
  <c r="L508" i="2"/>
  <c r="L511" i="2" s="1"/>
  <c r="J508" i="2"/>
  <c r="J511" i="2" s="1"/>
  <c r="I508" i="2"/>
  <c r="H508" i="2"/>
  <c r="H511" i="2" s="1"/>
  <c r="G508" i="2"/>
  <c r="G511" i="2" s="1"/>
  <c r="Z507" i="2"/>
  <c r="V507" i="2"/>
  <c r="R507" i="2"/>
  <c r="P507" i="2"/>
  <c r="X507" i="2" s="1"/>
  <c r="Z506" i="2"/>
  <c r="T506" i="2"/>
  <c r="R506" i="2"/>
  <c r="P506" i="2"/>
  <c r="V506" i="2" s="1"/>
  <c r="K505" i="2"/>
  <c r="P505" i="2" s="1"/>
  <c r="Z501" i="2"/>
  <c r="Y501" i="2"/>
  <c r="X501" i="2"/>
  <c r="P501" i="2"/>
  <c r="T501" i="2" s="1"/>
  <c r="Y500" i="2"/>
  <c r="Z500" i="2" s="1"/>
  <c r="V500" i="2"/>
  <c r="P500" i="2"/>
  <c r="R500" i="2" s="1"/>
  <c r="Y499" i="2"/>
  <c r="Z499" i="2" s="1"/>
  <c r="X499" i="2"/>
  <c r="V499" i="2"/>
  <c r="T499" i="2"/>
  <c r="P499" i="2"/>
  <c r="R499" i="2" s="1"/>
  <c r="W497" i="2"/>
  <c r="U497" i="2"/>
  <c r="O497" i="2"/>
  <c r="M497" i="2"/>
  <c r="G497" i="2"/>
  <c r="Y496" i="2"/>
  <c r="W496" i="2"/>
  <c r="U496" i="2"/>
  <c r="S496" i="2"/>
  <c r="Q496" i="2"/>
  <c r="R496" i="2" s="1"/>
  <c r="O496" i="2"/>
  <c r="N496" i="2"/>
  <c r="M496" i="2"/>
  <c r="L496" i="2"/>
  <c r="K496" i="2"/>
  <c r="J496" i="2"/>
  <c r="I496" i="2"/>
  <c r="H496" i="2"/>
  <c r="G496" i="2"/>
  <c r="Y495" i="2"/>
  <c r="Z495" i="2" s="1"/>
  <c r="Z496" i="2" s="1"/>
  <c r="X495" i="2"/>
  <c r="V495" i="2"/>
  <c r="T495" i="2"/>
  <c r="R495" i="2"/>
  <c r="P495" i="2"/>
  <c r="P496" i="2" s="1"/>
  <c r="W494" i="2"/>
  <c r="U494" i="2"/>
  <c r="S494" i="2"/>
  <c r="Q494" i="2"/>
  <c r="O494" i="2"/>
  <c r="N494" i="2"/>
  <c r="M494" i="2"/>
  <c r="L494" i="2"/>
  <c r="J494" i="2"/>
  <c r="I494" i="2"/>
  <c r="H494" i="2"/>
  <c r="G494" i="2"/>
  <c r="Z493" i="2"/>
  <c r="Y493" i="2"/>
  <c r="X493" i="2"/>
  <c r="P493" i="2"/>
  <c r="T493" i="2" s="1"/>
  <c r="Z492" i="2"/>
  <c r="Y492" i="2"/>
  <c r="Y494" i="2" s="1"/>
  <c r="K492" i="2"/>
  <c r="P492" i="2" s="1"/>
  <c r="X491" i="2"/>
  <c r="V491" i="2"/>
  <c r="T491" i="2"/>
  <c r="R491" i="2"/>
  <c r="P491" i="2"/>
  <c r="P490" i="2"/>
  <c r="Y489" i="2"/>
  <c r="Y497" i="2" s="1"/>
  <c r="W489" i="2"/>
  <c r="U489" i="2"/>
  <c r="S489" i="2"/>
  <c r="Q489" i="2"/>
  <c r="O489" i="2"/>
  <c r="N489" i="2"/>
  <c r="M489" i="2"/>
  <c r="L489" i="2"/>
  <c r="L497" i="2" s="1"/>
  <c r="K489" i="2"/>
  <c r="J489" i="2"/>
  <c r="J497" i="2" s="1"/>
  <c r="I489" i="2"/>
  <c r="I497" i="2" s="1"/>
  <c r="H489" i="2"/>
  <c r="H497" i="2" s="1"/>
  <c r="G489" i="2"/>
  <c r="Y488" i="2"/>
  <c r="Z488" i="2" s="1"/>
  <c r="X488" i="2"/>
  <c r="V488" i="2"/>
  <c r="T488" i="2"/>
  <c r="R488" i="2"/>
  <c r="P488" i="2"/>
  <c r="Z487" i="2"/>
  <c r="Y487" i="2"/>
  <c r="T487" i="2"/>
  <c r="P487" i="2"/>
  <c r="Y486" i="2"/>
  <c r="Z486" i="2" s="1"/>
  <c r="Z489" i="2" s="1"/>
  <c r="T486" i="2"/>
  <c r="R486" i="2"/>
  <c r="P486" i="2"/>
  <c r="X486" i="2" s="1"/>
  <c r="Z482" i="2"/>
  <c r="Y482" i="2"/>
  <c r="R482" i="2"/>
  <c r="P482" i="2"/>
  <c r="Y481" i="2"/>
  <c r="Z481" i="2" s="1"/>
  <c r="P481" i="2"/>
  <c r="Z480" i="2"/>
  <c r="Y480" i="2"/>
  <c r="X480" i="2"/>
  <c r="P480" i="2"/>
  <c r="T480" i="2" s="1"/>
  <c r="O478" i="2"/>
  <c r="M478" i="2"/>
  <c r="G478" i="2"/>
  <c r="Y477" i="2"/>
  <c r="Y462" i="2" s="1"/>
  <c r="Y455" i="2" s="1"/>
  <c r="W477" i="2"/>
  <c r="U477" i="2"/>
  <c r="S477" i="2"/>
  <c r="Q477" i="2"/>
  <c r="O477" i="2"/>
  <c r="N477" i="2"/>
  <c r="M477" i="2"/>
  <c r="L477" i="2"/>
  <c r="K477" i="2"/>
  <c r="K462" i="2" s="1"/>
  <c r="K455" i="2" s="1"/>
  <c r="J477" i="2"/>
  <c r="I477" i="2"/>
  <c r="I462" i="2" s="1"/>
  <c r="I455" i="2" s="1"/>
  <c r="H477" i="2"/>
  <c r="H462" i="2" s="1"/>
  <c r="H455" i="2" s="1"/>
  <c r="G477" i="2"/>
  <c r="Y476" i="2"/>
  <c r="Z476" i="2" s="1"/>
  <c r="Z477" i="2" s="1"/>
  <c r="Z462" i="2" s="1"/>
  <c r="Z455" i="2" s="1"/>
  <c r="P476" i="2"/>
  <c r="W475" i="2"/>
  <c r="U475" i="2"/>
  <c r="S475" i="2"/>
  <c r="S461" i="2" s="1"/>
  <c r="Q475" i="2"/>
  <c r="O475" i="2"/>
  <c r="N475" i="2"/>
  <c r="N461" i="2" s="1"/>
  <c r="N454" i="2" s="1"/>
  <c r="M475" i="2"/>
  <c r="L475" i="2"/>
  <c r="L461" i="2" s="1"/>
  <c r="L454" i="2" s="1"/>
  <c r="K475" i="2"/>
  <c r="J475" i="2"/>
  <c r="I475" i="2"/>
  <c r="H475" i="2"/>
  <c r="G475" i="2"/>
  <c r="X474" i="2"/>
  <c r="V474" i="2"/>
  <c r="T474" i="2"/>
  <c r="R474" i="2"/>
  <c r="P474" i="2"/>
  <c r="Z473" i="2"/>
  <c r="Z475" i="2" s="1"/>
  <c r="Y473" i="2"/>
  <c r="Y475" i="2" s="1"/>
  <c r="Y461" i="2" s="1"/>
  <c r="R473" i="2"/>
  <c r="P473" i="2"/>
  <c r="V473" i="2" s="1"/>
  <c r="K473" i="2"/>
  <c r="T472" i="2"/>
  <c r="R472" i="2"/>
  <c r="P472" i="2"/>
  <c r="V472" i="2" s="1"/>
  <c r="X471" i="2"/>
  <c r="V471" i="2"/>
  <c r="P471" i="2"/>
  <c r="P475" i="2" s="1"/>
  <c r="W470" i="2"/>
  <c r="U470" i="2"/>
  <c r="S470" i="2"/>
  <c r="Q470" i="2"/>
  <c r="O470" i="2"/>
  <c r="O460" i="2" s="1"/>
  <c r="O453" i="2" s="1"/>
  <c r="N470" i="2"/>
  <c r="M470" i="2"/>
  <c r="L470" i="2"/>
  <c r="K470" i="2"/>
  <c r="J470" i="2"/>
  <c r="J460" i="2" s="1"/>
  <c r="I470" i="2"/>
  <c r="H470" i="2"/>
  <c r="H460" i="2" s="1"/>
  <c r="H453" i="2" s="1"/>
  <c r="G470" i="2"/>
  <c r="G460" i="2" s="1"/>
  <c r="G453" i="2" s="1"/>
  <c r="Z469" i="2"/>
  <c r="Y469" i="2"/>
  <c r="T469" i="2"/>
  <c r="R469" i="2"/>
  <c r="P469" i="2"/>
  <c r="V469" i="2" s="1"/>
  <c r="Y468" i="2"/>
  <c r="Z468" i="2" s="1"/>
  <c r="P468" i="2"/>
  <c r="Y467" i="2"/>
  <c r="X467" i="2"/>
  <c r="P467" i="2"/>
  <c r="R467" i="2" s="1"/>
  <c r="O463" i="2"/>
  <c r="W462" i="2"/>
  <c r="U462" i="2"/>
  <c r="S462" i="2"/>
  <c r="O462" i="2"/>
  <c r="N462" i="2"/>
  <c r="M462" i="2"/>
  <c r="L462" i="2"/>
  <c r="L455" i="2" s="1"/>
  <c r="J462" i="2"/>
  <c r="G462" i="2"/>
  <c r="W461" i="2"/>
  <c r="U461" i="2"/>
  <c r="Q461" i="2"/>
  <c r="O461" i="2"/>
  <c r="M461" i="2"/>
  <c r="J461" i="2"/>
  <c r="I461" i="2"/>
  <c r="H461" i="2"/>
  <c r="G461" i="2"/>
  <c r="G463" i="2" s="1"/>
  <c r="U460" i="2"/>
  <c r="U463" i="2" s="1"/>
  <c r="S460" i="2"/>
  <c r="M460" i="2"/>
  <c r="M463" i="2" s="1"/>
  <c r="L460" i="2"/>
  <c r="K460" i="2"/>
  <c r="H456" i="2"/>
  <c r="W455" i="2"/>
  <c r="U455" i="2"/>
  <c r="O455" i="2"/>
  <c r="N455" i="2"/>
  <c r="M455" i="2"/>
  <c r="J455" i="2"/>
  <c r="G455" i="2"/>
  <c r="W454" i="2"/>
  <c r="Q454" i="2"/>
  <c r="O454" i="2"/>
  <c r="O456" i="2" s="1"/>
  <c r="J454" i="2"/>
  <c r="I454" i="2"/>
  <c r="H454" i="2"/>
  <c r="G454" i="2"/>
  <c r="G456" i="2" s="1"/>
  <c r="U453" i="2"/>
  <c r="S453" i="2"/>
  <c r="M453" i="2"/>
  <c r="M456" i="2" s="1"/>
  <c r="L453" i="2"/>
  <c r="Z449" i="2"/>
  <c r="Y449" i="2"/>
  <c r="X449" i="2"/>
  <c r="V449" i="2"/>
  <c r="P449" i="2"/>
  <c r="T449" i="2" s="1"/>
  <c r="Y448" i="2"/>
  <c r="Z448" i="2" s="1"/>
  <c r="X448" i="2"/>
  <c r="V448" i="2"/>
  <c r="T448" i="2"/>
  <c r="P448" i="2"/>
  <c r="R448" i="2" s="1"/>
  <c r="Y447" i="2"/>
  <c r="Z447" i="2" s="1"/>
  <c r="X447" i="2"/>
  <c r="V447" i="2"/>
  <c r="T447" i="2"/>
  <c r="R447" i="2"/>
  <c r="P447" i="2"/>
  <c r="Y446" i="2"/>
  <c r="Z446" i="2" s="1"/>
  <c r="Z442" i="2" s="1"/>
  <c r="Z443" i="2" s="1"/>
  <c r="Z444" i="2" s="1"/>
  <c r="P446" i="2"/>
  <c r="U444" i="2"/>
  <c r="S444" i="2"/>
  <c r="N444" i="2"/>
  <c r="M444" i="2"/>
  <c r="L444" i="2"/>
  <c r="K444" i="2"/>
  <c r="W443" i="2"/>
  <c r="W444" i="2" s="1"/>
  <c r="U443" i="2"/>
  <c r="V443" i="2" s="1"/>
  <c r="S443" i="2"/>
  <c r="Q443" i="2"/>
  <c r="Q444" i="2" s="1"/>
  <c r="P443" i="2"/>
  <c r="O443" i="2"/>
  <c r="O444" i="2" s="1"/>
  <c r="N443" i="2"/>
  <c r="M443" i="2"/>
  <c r="L443" i="2"/>
  <c r="J443" i="2"/>
  <c r="J444" i="2" s="1"/>
  <c r="I443" i="2"/>
  <c r="I444" i="2" s="1"/>
  <c r="H443" i="2"/>
  <c r="H444" i="2" s="1"/>
  <c r="G443" i="2"/>
  <c r="G444" i="2" s="1"/>
  <c r="P442" i="2"/>
  <c r="K442" i="2"/>
  <c r="K443" i="2" s="1"/>
  <c r="J442" i="2"/>
  <c r="I442" i="2"/>
  <c r="Y438" i="2"/>
  <c r="Z438" i="2" s="1"/>
  <c r="X438" i="2"/>
  <c r="V438" i="2"/>
  <c r="T438" i="2"/>
  <c r="R438" i="2"/>
  <c r="P438" i="2"/>
  <c r="Y437" i="2"/>
  <c r="Z437" i="2" s="1"/>
  <c r="V437" i="2"/>
  <c r="R437" i="2"/>
  <c r="P437" i="2"/>
  <c r="N435" i="2"/>
  <c r="L435" i="2"/>
  <c r="K435" i="2"/>
  <c r="Z434" i="2"/>
  <c r="Y434" i="2"/>
  <c r="X434" i="2"/>
  <c r="W434" i="2"/>
  <c r="U434" i="2"/>
  <c r="S434" i="2"/>
  <c r="R434" i="2"/>
  <c r="Q434" i="2"/>
  <c r="P434" i="2"/>
  <c r="V434" i="2" s="1"/>
  <c r="O434" i="2"/>
  <c r="N434" i="2"/>
  <c r="M434" i="2"/>
  <c r="L434" i="2"/>
  <c r="K434" i="2"/>
  <c r="J434" i="2"/>
  <c r="J426" i="2" s="1"/>
  <c r="I434" i="2"/>
  <c r="H434" i="2"/>
  <c r="G434" i="2"/>
  <c r="Z433" i="2"/>
  <c r="Y433" i="2"/>
  <c r="T433" i="2"/>
  <c r="P433" i="2"/>
  <c r="Z432" i="2"/>
  <c r="Y432" i="2"/>
  <c r="Y435" i="2" s="1"/>
  <c r="W432" i="2"/>
  <c r="X432" i="2" s="1"/>
  <c r="U432" i="2"/>
  <c r="S432" i="2"/>
  <c r="Q432" i="2"/>
  <c r="Q435" i="2" s="1"/>
  <c r="O432" i="2"/>
  <c r="N432" i="2"/>
  <c r="N425" i="2" s="1"/>
  <c r="N427" i="2" s="1"/>
  <c r="M432" i="2"/>
  <c r="M435" i="2" s="1"/>
  <c r="L432" i="2"/>
  <c r="K432" i="2"/>
  <c r="K425" i="2" s="1"/>
  <c r="J432" i="2"/>
  <c r="I432" i="2"/>
  <c r="I435" i="2" s="1"/>
  <c r="H432" i="2"/>
  <c r="H435" i="2" s="1"/>
  <c r="G432" i="2"/>
  <c r="Z431" i="2"/>
  <c r="X431" i="2"/>
  <c r="V431" i="2"/>
  <c r="T431" i="2"/>
  <c r="R431" i="2"/>
  <c r="P431" i="2"/>
  <c r="P432" i="2" s="1"/>
  <c r="U426" i="2"/>
  <c r="S426" i="2"/>
  <c r="Q426" i="2"/>
  <c r="N426" i="2"/>
  <c r="M426" i="2"/>
  <c r="L426" i="2"/>
  <c r="K426" i="2"/>
  <c r="I426" i="2"/>
  <c r="H426" i="2"/>
  <c r="Y425" i="2"/>
  <c r="W425" i="2"/>
  <c r="U425" i="2"/>
  <c r="Q425" i="2"/>
  <c r="O425" i="2"/>
  <c r="L425" i="2"/>
  <c r="L427" i="2" s="1"/>
  <c r="I425" i="2"/>
  <c r="I427" i="2" s="1"/>
  <c r="H425" i="2"/>
  <c r="G425" i="2"/>
  <c r="S422" i="2"/>
  <c r="Q422" i="2"/>
  <c r="K422" i="2"/>
  <c r="J422" i="2"/>
  <c r="I422" i="2"/>
  <c r="H422" i="2"/>
  <c r="W421" i="2"/>
  <c r="U421" i="2"/>
  <c r="S421" i="2"/>
  <c r="Q421" i="2"/>
  <c r="O421" i="2"/>
  <c r="O422" i="2" s="1"/>
  <c r="N421" i="2"/>
  <c r="N422" i="2" s="1"/>
  <c r="M421" i="2"/>
  <c r="M422" i="2" s="1"/>
  <c r="L421" i="2"/>
  <c r="L422" i="2" s="1"/>
  <c r="K421" i="2"/>
  <c r="J421" i="2"/>
  <c r="I421" i="2"/>
  <c r="H421" i="2"/>
  <c r="G421" i="2"/>
  <c r="G422" i="2" s="1"/>
  <c r="Y420" i="2"/>
  <c r="Z420" i="2" s="1"/>
  <c r="X420" i="2"/>
  <c r="P420" i="2"/>
  <c r="R420" i="2" s="1"/>
  <c r="Z419" i="2"/>
  <c r="Z421" i="2" s="1"/>
  <c r="Z422" i="2" s="1"/>
  <c r="Y419" i="2"/>
  <c r="X419" i="2"/>
  <c r="V419" i="2"/>
  <c r="P419" i="2"/>
  <c r="T419" i="2" s="1"/>
  <c r="Y415" i="2"/>
  <c r="Z415" i="2" s="1"/>
  <c r="X415" i="2"/>
  <c r="V415" i="2"/>
  <c r="T415" i="2"/>
  <c r="P415" i="2"/>
  <c r="R415" i="2" s="1"/>
  <c r="Y414" i="2"/>
  <c r="Z414" i="2" s="1"/>
  <c r="X414" i="2"/>
  <c r="V414" i="2"/>
  <c r="T414" i="2"/>
  <c r="R414" i="2"/>
  <c r="P414" i="2"/>
  <c r="Y413" i="2"/>
  <c r="Z413" i="2" s="1"/>
  <c r="R413" i="2"/>
  <c r="P413" i="2"/>
  <c r="Y412" i="2"/>
  <c r="Z412" i="2" s="1"/>
  <c r="P412" i="2"/>
  <c r="U410" i="2"/>
  <c r="S410" i="2"/>
  <c r="M410" i="2"/>
  <c r="L410" i="2"/>
  <c r="K410" i="2"/>
  <c r="J410" i="2"/>
  <c r="W409" i="2"/>
  <c r="U409" i="2"/>
  <c r="S409" i="2"/>
  <c r="Q409" i="2"/>
  <c r="O409" i="2"/>
  <c r="N409" i="2"/>
  <c r="N410" i="2" s="1"/>
  <c r="M409" i="2"/>
  <c r="L409" i="2"/>
  <c r="K409" i="2"/>
  <c r="J409" i="2"/>
  <c r="I409" i="2"/>
  <c r="I410" i="2" s="1"/>
  <c r="H409" i="2"/>
  <c r="H410" i="2" s="1"/>
  <c r="G409" i="2"/>
  <c r="Z408" i="2"/>
  <c r="Y408" i="2"/>
  <c r="T408" i="2"/>
  <c r="R408" i="2"/>
  <c r="P408" i="2"/>
  <c r="V408" i="2" s="1"/>
  <c r="Z407" i="2"/>
  <c r="Y407" i="2"/>
  <c r="P407" i="2"/>
  <c r="Y406" i="2"/>
  <c r="X406" i="2"/>
  <c r="P406" i="2"/>
  <c r="R406" i="2" s="1"/>
  <c r="X402" i="2"/>
  <c r="V402" i="2"/>
  <c r="P402" i="2"/>
  <c r="Y402" i="2" s="1"/>
  <c r="Z402" i="2" s="1"/>
  <c r="Y401" i="2"/>
  <c r="Z401" i="2" s="1"/>
  <c r="X401" i="2"/>
  <c r="V401" i="2"/>
  <c r="T401" i="2"/>
  <c r="P401" i="2"/>
  <c r="R401" i="2" s="1"/>
  <c r="Q399" i="2"/>
  <c r="N399" i="2"/>
  <c r="Z398" i="2"/>
  <c r="W398" i="2"/>
  <c r="U398" i="2"/>
  <c r="U390" i="2" s="1"/>
  <c r="S398" i="2"/>
  <c r="Q398" i="2"/>
  <c r="Q390" i="2" s="1"/>
  <c r="O398" i="2"/>
  <c r="N398" i="2"/>
  <c r="M398" i="2"/>
  <c r="L398" i="2"/>
  <c r="L390" i="2" s="1"/>
  <c r="K398" i="2"/>
  <c r="J398" i="2"/>
  <c r="J399" i="2" s="1"/>
  <c r="I398" i="2"/>
  <c r="I390" i="2" s="1"/>
  <c r="H398" i="2"/>
  <c r="G398" i="2"/>
  <c r="Y397" i="2"/>
  <c r="Z397" i="2" s="1"/>
  <c r="X397" i="2"/>
  <c r="V397" i="2"/>
  <c r="T397" i="2"/>
  <c r="R397" i="2"/>
  <c r="P397" i="2"/>
  <c r="P398" i="2" s="1"/>
  <c r="R398" i="2" s="1"/>
  <c r="Y396" i="2"/>
  <c r="W396" i="2"/>
  <c r="W399" i="2" s="1"/>
  <c r="U396" i="2"/>
  <c r="S396" i="2"/>
  <c r="S399" i="2" s="1"/>
  <c r="Q396" i="2"/>
  <c r="P396" i="2"/>
  <c r="O396" i="2"/>
  <c r="O399" i="2" s="1"/>
  <c r="N396" i="2"/>
  <c r="M396" i="2"/>
  <c r="M389" i="2" s="1"/>
  <c r="L396" i="2"/>
  <c r="K396" i="2"/>
  <c r="K399" i="2" s="1"/>
  <c r="J396" i="2"/>
  <c r="I396" i="2"/>
  <c r="H396" i="2"/>
  <c r="G396" i="2"/>
  <c r="G399" i="2" s="1"/>
  <c r="Z395" i="2"/>
  <c r="Z396" i="2" s="1"/>
  <c r="Z399" i="2" s="1"/>
  <c r="X395" i="2"/>
  <c r="V395" i="2"/>
  <c r="P395" i="2"/>
  <c r="T395" i="2" s="1"/>
  <c r="J391" i="2"/>
  <c r="S390" i="2"/>
  <c r="K390" i="2"/>
  <c r="J390" i="2"/>
  <c r="H390" i="2"/>
  <c r="Y389" i="2"/>
  <c r="W389" i="2"/>
  <c r="S389" i="2"/>
  <c r="Q389" i="2"/>
  <c r="Q391" i="2" s="1"/>
  <c r="N389" i="2"/>
  <c r="K389" i="2"/>
  <c r="K391" i="2" s="1"/>
  <c r="J389" i="2"/>
  <c r="I389" i="2"/>
  <c r="I391" i="2" s="1"/>
  <c r="G389" i="2"/>
  <c r="Z385" i="2"/>
  <c r="Y385" i="2"/>
  <c r="P385" i="2"/>
  <c r="Y384" i="2"/>
  <c r="Z384" i="2" s="1"/>
  <c r="T384" i="2"/>
  <c r="R384" i="2"/>
  <c r="P384" i="2"/>
  <c r="Z383" i="2"/>
  <c r="Y383" i="2"/>
  <c r="P383" i="2"/>
  <c r="Z382" i="2"/>
  <c r="Y382" i="2"/>
  <c r="V382" i="2"/>
  <c r="P382" i="2"/>
  <c r="S380" i="2"/>
  <c r="H380" i="2"/>
  <c r="Y379" i="2"/>
  <c r="Y380" i="2" s="1"/>
  <c r="W379" i="2"/>
  <c r="U379" i="2"/>
  <c r="S379" i="2"/>
  <c r="Q379" i="2"/>
  <c r="O379" i="2"/>
  <c r="O380" i="2" s="1"/>
  <c r="N379" i="2"/>
  <c r="N380" i="2" s="1"/>
  <c r="M379" i="2"/>
  <c r="M380" i="2" s="1"/>
  <c r="L379" i="2"/>
  <c r="L380" i="2" s="1"/>
  <c r="H379" i="2"/>
  <c r="G379" i="2"/>
  <c r="G380" i="2" s="1"/>
  <c r="Y378" i="2"/>
  <c r="K378" i="2"/>
  <c r="J378" i="2"/>
  <c r="J379" i="2" s="1"/>
  <c r="I378" i="2"/>
  <c r="I379" i="2" s="1"/>
  <c r="I380" i="2" s="1"/>
  <c r="Z374" i="2"/>
  <c r="Y374" i="2"/>
  <c r="V374" i="2"/>
  <c r="T374" i="2"/>
  <c r="R374" i="2"/>
  <c r="P374" i="2"/>
  <c r="X374" i="2" s="1"/>
  <c r="Z373" i="2"/>
  <c r="Y373" i="2"/>
  <c r="P373" i="2"/>
  <c r="S371" i="2"/>
  <c r="K371" i="2"/>
  <c r="I371" i="2"/>
  <c r="W370" i="2"/>
  <c r="U370" i="2"/>
  <c r="S370" i="2"/>
  <c r="Q370" i="2"/>
  <c r="O370" i="2"/>
  <c r="N370" i="2"/>
  <c r="M370" i="2"/>
  <c r="M360" i="2" s="1"/>
  <c r="L370" i="2"/>
  <c r="K370" i="2"/>
  <c r="J370" i="2"/>
  <c r="I370" i="2"/>
  <c r="H370" i="2"/>
  <c r="G370" i="2"/>
  <c r="Y369" i="2"/>
  <c r="Z369" i="2" s="1"/>
  <c r="X369" i="2"/>
  <c r="V369" i="2"/>
  <c r="R369" i="2"/>
  <c r="P369" i="2"/>
  <c r="T369" i="2" s="1"/>
  <c r="Z368" i="2"/>
  <c r="Y368" i="2"/>
  <c r="P368" i="2"/>
  <c r="Y367" i="2"/>
  <c r="Z367" i="2" s="1"/>
  <c r="Z370" i="2" s="1"/>
  <c r="V367" i="2"/>
  <c r="T367" i="2"/>
  <c r="R367" i="2"/>
  <c r="P367" i="2"/>
  <c r="X367" i="2" s="1"/>
  <c r="Z366" i="2"/>
  <c r="Z371" i="2" s="1"/>
  <c r="Y366" i="2"/>
  <c r="Y359" i="2" s="1"/>
  <c r="X366" i="2"/>
  <c r="W366" i="2"/>
  <c r="U366" i="2"/>
  <c r="U359" i="2" s="1"/>
  <c r="S366" i="2"/>
  <c r="Q366" i="2"/>
  <c r="Q359" i="2" s="1"/>
  <c r="P366" i="2"/>
  <c r="V366" i="2" s="1"/>
  <c r="O366" i="2"/>
  <c r="N366" i="2"/>
  <c r="M366" i="2"/>
  <c r="M359" i="2" s="1"/>
  <c r="L366" i="2"/>
  <c r="L371" i="2" s="1"/>
  <c r="K366" i="2"/>
  <c r="J366" i="2"/>
  <c r="J371" i="2" s="1"/>
  <c r="I366" i="2"/>
  <c r="I359" i="2" s="1"/>
  <c r="H366" i="2"/>
  <c r="H371" i="2" s="1"/>
  <c r="G366" i="2"/>
  <c r="Z365" i="2"/>
  <c r="X365" i="2"/>
  <c r="V365" i="2"/>
  <c r="R365" i="2"/>
  <c r="P365" i="2"/>
  <c r="T365" i="2" s="1"/>
  <c r="S360" i="2"/>
  <c r="S354" i="2" s="1"/>
  <c r="N360" i="2"/>
  <c r="L360" i="2"/>
  <c r="H360" i="2"/>
  <c r="W359" i="2"/>
  <c r="W353" i="2" s="1"/>
  <c r="T359" i="2"/>
  <c r="S359" i="2"/>
  <c r="S361" i="2" s="1"/>
  <c r="P359" i="2"/>
  <c r="X359" i="2" s="1"/>
  <c r="O359" i="2"/>
  <c r="L359" i="2"/>
  <c r="K359" i="2"/>
  <c r="J359" i="2"/>
  <c r="H359" i="2"/>
  <c r="G359" i="2"/>
  <c r="L354" i="2"/>
  <c r="H354" i="2"/>
  <c r="K353" i="2"/>
  <c r="O349" i="2"/>
  <c r="H349" i="2"/>
  <c r="Z348" i="2"/>
  <c r="Y348" i="2"/>
  <c r="W348" i="2"/>
  <c r="U348" i="2"/>
  <c r="T348" i="2"/>
  <c r="S348" i="2"/>
  <c r="Q348" i="2"/>
  <c r="P348" i="2"/>
  <c r="R348" i="2" s="1"/>
  <c r="O348" i="2"/>
  <c r="N348" i="2"/>
  <c r="M348" i="2"/>
  <c r="L348" i="2"/>
  <c r="K348" i="2"/>
  <c r="K318" i="2" s="1"/>
  <c r="K263" i="2" s="1"/>
  <c r="J348" i="2"/>
  <c r="I348" i="2"/>
  <c r="H348" i="2"/>
  <c r="H318" i="2" s="1"/>
  <c r="G348" i="2"/>
  <c r="X347" i="2"/>
  <c r="T347" i="2"/>
  <c r="R347" i="2"/>
  <c r="P347" i="2"/>
  <c r="V347" i="2" s="1"/>
  <c r="W346" i="2"/>
  <c r="U346" i="2"/>
  <c r="S346" i="2"/>
  <c r="Q346" i="2"/>
  <c r="O346" i="2"/>
  <c r="O317" i="2" s="1"/>
  <c r="N346" i="2"/>
  <c r="M346" i="2"/>
  <c r="L346" i="2"/>
  <c r="L349" i="2" s="1"/>
  <c r="J346" i="2"/>
  <c r="I346" i="2"/>
  <c r="H346" i="2"/>
  <c r="G346" i="2"/>
  <c r="G317" i="2" s="1"/>
  <c r="Z345" i="2"/>
  <c r="Z346" i="2" s="1"/>
  <c r="Z349" i="2" s="1"/>
  <c r="Y345" i="2"/>
  <c r="Y346" i="2" s="1"/>
  <c r="K345" i="2"/>
  <c r="V344" i="2"/>
  <c r="T344" i="2"/>
  <c r="R344" i="2"/>
  <c r="P344" i="2"/>
  <c r="X344" i="2" s="1"/>
  <c r="P343" i="2"/>
  <c r="Z342" i="2"/>
  <c r="Y342" i="2"/>
  <c r="Y349" i="2" s="1"/>
  <c r="W342" i="2"/>
  <c r="W349" i="2" s="1"/>
  <c r="U342" i="2"/>
  <c r="S342" i="2"/>
  <c r="Q342" i="2"/>
  <c r="Q349" i="2" s="1"/>
  <c r="O342" i="2"/>
  <c r="N342" i="2"/>
  <c r="M342" i="2"/>
  <c r="M349" i="2" s="1"/>
  <c r="L342" i="2"/>
  <c r="K342" i="2"/>
  <c r="K316" i="2" s="1"/>
  <c r="J342" i="2"/>
  <c r="J349" i="2" s="1"/>
  <c r="I342" i="2"/>
  <c r="H342" i="2"/>
  <c r="G342" i="2"/>
  <c r="G349" i="2" s="1"/>
  <c r="Z341" i="2"/>
  <c r="X341" i="2"/>
  <c r="P341" i="2"/>
  <c r="V341" i="2" s="1"/>
  <c r="Z340" i="2"/>
  <c r="X340" i="2"/>
  <c r="T340" i="2"/>
  <c r="P340" i="2"/>
  <c r="Z336" i="2"/>
  <c r="Y336" i="2"/>
  <c r="V336" i="2"/>
  <c r="T336" i="2"/>
  <c r="R336" i="2"/>
  <c r="P336" i="2"/>
  <c r="X336" i="2" s="1"/>
  <c r="J334" i="2"/>
  <c r="Z333" i="2"/>
  <c r="Z334" i="2" s="1"/>
  <c r="W333" i="2"/>
  <c r="U333" i="2"/>
  <c r="T333" i="2"/>
  <c r="S333" i="2"/>
  <c r="Q333" i="2"/>
  <c r="O333" i="2"/>
  <c r="N333" i="2"/>
  <c r="N334" i="2" s="1"/>
  <c r="M333" i="2"/>
  <c r="L333" i="2"/>
  <c r="K333" i="2"/>
  <c r="J333" i="2"/>
  <c r="J317" i="2" s="1"/>
  <c r="I333" i="2"/>
  <c r="H333" i="2"/>
  <c r="G333" i="2"/>
  <c r="Z332" i="2"/>
  <c r="Y332" i="2"/>
  <c r="Y333" i="2" s="1"/>
  <c r="Y334" i="2" s="1"/>
  <c r="X332" i="2"/>
  <c r="P332" i="2"/>
  <c r="P333" i="2" s="1"/>
  <c r="Z331" i="2"/>
  <c r="Y331" i="2"/>
  <c r="W331" i="2"/>
  <c r="W334" i="2" s="1"/>
  <c r="U331" i="2"/>
  <c r="S331" i="2"/>
  <c r="Q331" i="2"/>
  <c r="Q334" i="2" s="1"/>
  <c r="P331" i="2"/>
  <c r="O331" i="2"/>
  <c r="O334" i="2" s="1"/>
  <c r="N331" i="2"/>
  <c r="M331" i="2"/>
  <c r="M334" i="2" s="1"/>
  <c r="L331" i="2"/>
  <c r="K331" i="2"/>
  <c r="K334" i="2" s="1"/>
  <c r="J331" i="2"/>
  <c r="I331" i="2"/>
  <c r="I334" i="2" s="1"/>
  <c r="H331" i="2"/>
  <c r="H316" i="2" s="1"/>
  <c r="H319" i="2" s="1"/>
  <c r="G331" i="2"/>
  <c r="V330" i="2"/>
  <c r="T330" i="2"/>
  <c r="R330" i="2"/>
  <c r="P330" i="2"/>
  <c r="X330" i="2" s="1"/>
  <c r="M326" i="2"/>
  <c r="L326" i="2"/>
  <c r="Y325" i="2"/>
  <c r="W325" i="2"/>
  <c r="W326" i="2" s="1"/>
  <c r="U325" i="2"/>
  <c r="S325" i="2"/>
  <c r="S326" i="2" s="1"/>
  <c r="Q325" i="2"/>
  <c r="O325" i="2"/>
  <c r="O326" i="2" s="1"/>
  <c r="N325" i="2"/>
  <c r="M325" i="2"/>
  <c r="L325" i="2"/>
  <c r="K325" i="2"/>
  <c r="K326" i="2" s="1"/>
  <c r="J325" i="2"/>
  <c r="J326" i="2" s="1"/>
  <c r="I325" i="2"/>
  <c r="H325" i="2"/>
  <c r="H326" i="2" s="1"/>
  <c r="G325" i="2"/>
  <c r="G326" i="2" s="1"/>
  <c r="Z324" i="2"/>
  <c r="Y324" i="2"/>
  <c r="P324" i="2"/>
  <c r="Y323" i="2"/>
  <c r="Z323" i="2" s="1"/>
  <c r="X323" i="2"/>
  <c r="V323" i="2"/>
  <c r="P323" i="2"/>
  <c r="T323" i="2" s="1"/>
  <c r="Z318" i="2"/>
  <c r="Y318" i="2"/>
  <c r="W318" i="2"/>
  <c r="U318" i="2"/>
  <c r="S318" i="2"/>
  <c r="Q318" i="2"/>
  <c r="O318" i="2"/>
  <c r="O263" i="2" s="1"/>
  <c r="M318" i="2"/>
  <c r="L318" i="2"/>
  <c r="L263" i="2" s="1"/>
  <c r="J318" i="2"/>
  <c r="I318" i="2"/>
  <c r="G318" i="2"/>
  <c r="W317" i="2"/>
  <c r="S317" i="2"/>
  <c r="H317" i="2"/>
  <c r="Z316" i="2"/>
  <c r="W316" i="2"/>
  <c r="Q316" i="2"/>
  <c r="O316" i="2"/>
  <c r="N316" i="2"/>
  <c r="L316" i="2"/>
  <c r="I316" i="2"/>
  <c r="Z312" i="2"/>
  <c r="U312" i="2"/>
  <c r="S312" i="2"/>
  <c r="M312" i="2"/>
  <c r="K312" i="2"/>
  <c r="J312" i="2"/>
  <c r="Y311" i="2"/>
  <c r="Y312" i="2" s="1"/>
  <c r="W311" i="2"/>
  <c r="W269" i="2" s="1"/>
  <c r="U311" i="2"/>
  <c r="S311" i="2"/>
  <c r="Q311" i="2"/>
  <c r="O311" i="2"/>
  <c r="O312" i="2" s="1"/>
  <c r="N311" i="2"/>
  <c r="N312" i="2" s="1"/>
  <c r="M311" i="2"/>
  <c r="L311" i="2"/>
  <c r="L312" i="2" s="1"/>
  <c r="K311" i="2"/>
  <c r="J311" i="2"/>
  <c r="I311" i="2"/>
  <c r="I312" i="2" s="1"/>
  <c r="H311" i="2"/>
  <c r="H312" i="2" s="1"/>
  <c r="G311" i="2"/>
  <c r="G312" i="2" s="1"/>
  <c r="Z310" i="2"/>
  <c r="Z311" i="2" s="1"/>
  <c r="Y310" i="2"/>
  <c r="R310" i="2"/>
  <c r="P310" i="2"/>
  <c r="P311" i="2" s="1"/>
  <c r="P312" i="2" s="1"/>
  <c r="Y306" i="2"/>
  <c r="Z306" i="2" s="1"/>
  <c r="P306" i="2"/>
  <c r="Y305" i="2"/>
  <c r="Z305" i="2" s="1"/>
  <c r="X305" i="2"/>
  <c r="T305" i="2"/>
  <c r="R305" i="2"/>
  <c r="P305" i="2"/>
  <c r="V305" i="2" s="1"/>
  <c r="W303" i="2"/>
  <c r="O303" i="2"/>
  <c r="J303" i="2"/>
  <c r="H303" i="2"/>
  <c r="G303" i="2"/>
  <c r="W302" i="2"/>
  <c r="U302" i="2"/>
  <c r="S302" i="2"/>
  <c r="Q302" i="2"/>
  <c r="Q303" i="2" s="1"/>
  <c r="O302" i="2"/>
  <c r="N302" i="2"/>
  <c r="M302" i="2"/>
  <c r="L302" i="2"/>
  <c r="L303" i="2" s="1"/>
  <c r="K302" i="2"/>
  <c r="J302" i="2"/>
  <c r="I302" i="2"/>
  <c r="I303" i="2" s="1"/>
  <c r="H302" i="2"/>
  <c r="G302" i="2"/>
  <c r="Z301" i="2"/>
  <c r="Y301" i="2"/>
  <c r="X301" i="2"/>
  <c r="V301" i="2"/>
  <c r="P301" i="2"/>
  <c r="T301" i="2" s="1"/>
  <c r="Y300" i="2"/>
  <c r="V300" i="2"/>
  <c r="T300" i="2"/>
  <c r="P300" i="2"/>
  <c r="X300" i="2" s="1"/>
  <c r="Z299" i="2"/>
  <c r="Y299" i="2"/>
  <c r="W299" i="2"/>
  <c r="U299" i="2"/>
  <c r="U303" i="2" s="1"/>
  <c r="S299" i="2"/>
  <c r="T299" i="2" s="1"/>
  <c r="Q299" i="2"/>
  <c r="P299" i="2"/>
  <c r="O299" i="2"/>
  <c r="N299" i="2"/>
  <c r="N303" i="2" s="1"/>
  <c r="M299" i="2"/>
  <c r="M303" i="2" s="1"/>
  <c r="L299" i="2"/>
  <c r="K299" i="2"/>
  <c r="J299" i="2"/>
  <c r="I299" i="2"/>
  <c r="H299" i="2"/>
  <c r="G299" i="2"/>
  <c r="X298" i="2"/>
  <c r="V298" i="2"/>
  <c r="R298" i="2"/>
  <c r="P298" i="2"/>
  <c r="T298" i="2" s="1"/>
  <c r="Q294" i="2"/>
  <c r="N294" i="2"/>
  <c r="I294" i="2"/>
  <c r="Z293" i="2"/>
  <c r="Y293" i="2"/>
  <c r="W293" i="2"/>
  <c r="X293" i="2" s="1"/>
  <c r="U293" i="2"/>
  <c r="V293" i="2" s="1"/>
  <c r="S293" i="2"/>
  <c r="R293" i="2"/>
  <c r="Q293" i="2"/>
  <c r="P293" i="2"/>
  <c r="O293" i="2"/>
  <c r="N293" i="2"/>
  <c r="M293" i="2"/>
  <c r="L293" i="2"/>
  <c r="K293" i="2"/>
  <c r="K294" i="2" s="1"/>
  <c r="J293" i="2"/>
  <c r="I293" i="2"/>
  <c r="H293" i="2"/>
  <c r="H294" i="2" s="1"/>
  <c r="G293" i="2"/>
  <c r="Z292" i="2"/>
  <c r="X292" i="2"/>
  <c r="V292" i="2"/>
  <c r="T292" i="2"/>
  <c r="R292" i="2"/>
  <c r="P292" i="2"/>
  <c r="W291" i="2"/>
  <c r="W294" i="2" s="1"/>
  <c r="U291" i="2"/>
  <c r="S291" i="2"/>
  <c r="Q291" i="2"/>
  <c r="O291" i="2"/>
  <c r="O294" i="2" s="1"/>
  <c r="N291" i="2"/>
  <c r="M291" i="2"/>
  <c r="L291" i="2"/>
  <c r="K291" i="2"/>
  <c r="J291" i="2"/>
  <c r="J294" i="2" s="1"/>
  <c r="I291" i="2"/>
  <c r="I268" i="2" s="1"/>
  <c r="H291" i="2"/>
  <c r="G291" i="2"/>
  <c r="G294" i="2" s="1"/>
  <c r="Y290" i="2"/>
  <c r="Z290" i="2" s="1"/>
  <c r="X290" i="2"/>
  <c r="T290" i="2"/>
  <c r="R290" i="2"/>
  <c r="P290" i="2"/>
  <c r="V290" i="2" s="1"/>
  <c r="Z289" i="2"/>
  <c r="Y289" i="2"/>
  <c r="X289" i="2"/>
  <c r="P289" i="2"/>
  <c r="T289" i="2" s="1"/>
  <c r="Y288" i="2"/>
  <c r="T288" i="2"/>
  <c r="P288" i="2"/>
  <c r="V288" i="2" s="1"/>
  <c r="Z284" i="2"/>
  <c r="Y284" i="2"/>
  <c r="X284" i="2"/>
  <c r="V284" i="2"/>
  <c r="T284" i="2"/>
  <c r="R284" i="2"/>
  <c r="P284" i="2"/>
  <c r="O282" i="2"/>
  <c r="J282" i="2"/>
  <c r="W281" i="2"/>
  <c r="U281" i="2"/>
  <c r="S281" i="2"/>
  <c r="Q281" i="2"/>
  <c r="O281" i="2"/>
  <c r="N281" i="2"/>
  <c r="M281" i="2"/>
  <c r="M270" i="2" s="1"/>
  <c r="M262" i="2" s="1"/>
  <c r="L281" i="2"/>
  <c r="K281" i="2"/>
  <c r="K270" i="2" s="1"/>
  <c r="K262" i="2" s="1"/>
  <c r="J281" i="2"/>
  <c r="I281" i="2"/>
  <c r="I270" i="2" s="1"/>
  <c r="I262" i="2" s="1"/>
  <c r="H281" i="2"/>
  <c r="H270" i="2" s="1"/>
  <c r="H262" i="2" s="1"/>
  <c r="G281" i="2"/>
  <c r="P280" i="2"/>
  <c r="W279" i="2"/>
  <c r="U279" i="2"/>
  <c r="S279" i="2"/>
  <c r="Q279" i="2"/>
  <c r="O279" i="2"/>
  <c r="N279" i="2"/>
  <c r="M279" i="2"/>
  <c r="L279" i="2"/>
  <c r="L282" i="2" s="1"/>
  <c r="K279" i="2"/>
  <c r="J279" i="2"/>
  <c r="I279" i="2"/>
  <c r="H279" i="2"/>
  <c r="H269" i="2" s="1"/>
  <c r="G279" i="2"/>
  <c r="Y278" i="2"/>
  <c r="Z278" i="2" s="1"/>
  <c r="V278" i="2"/>
  <c r="P278" i="2"/>
  <c r="Y277" i="2"/>
  <c r="Z277" i="2" s="1"/>
  <c r="X277" i="2"/>
  <c r="P277" i="2"/>
  <c r="R277" i="2" s="1"/>
  <c r="W276" i="2"/>
  <c r="U276" i="2"/>
  <c r="U282" i="2" s="1"/>
  <c r="S276" i="2"/>
  <c r="Q276" i="2"/>
  <c r="O276" i="2"/>
  <c r="N276" i="2"/>
  <c r="M276" i="2"/>
  <c r="M282" i="2" s="1"/>
  <c r="L276" i="2"/>
  <c r="J276" i="2"/>
  <c r="I276" i="2"/>
  <c r="H276" i="2"/>
  <c r="G276" i="2"/>
  <c r="G282" i="2" s="1"/>
  <c r="K275" i="2"/>
  <c r="K276" i="2" s="1"/>
  <c r="W270" i="2"/>
  <c r="U270" i="2"/>
  <c r="U262" i="2" s="1"/>
  <c r="O270" i="2"/>
  <c r="O262" i="2" s="1"/>
  <c r="N270" i="2"/>
  <c r="N262" i="2" s="1"/>
  <c r="L270" i="2"/>
  <c r="J270" i="2"/>
  <c r="G270" i="2"/>
  <c r="S269" i="2"/>
  <c r="O269" i="2"/>
  <c r="O261" i="2" s="1"/>
  <c r="N269" i="2"/>
  <c r="K269" i="2"/>
  <c r="J269" i="2"/>
  <c r="U268" i="2"/>
  <c r="S268" i="2"/>
  <c r="M268" i="2"/>
  <c r="J268" i="2"/>
  <c r="G268" i="2"/>
  <c r="Z263" i="2"/>
  <c r="Y263" i="2"/>
  <c r="W263" i="2"/>
  <c r="U263" i="2"/>
  <c r="S263" i="2"/>
  <c r="Q263" i="2"/>
  <c r="M263" i="2"/>
  <c r="J263" i="2"/>
  <c r="I263" i="2"/>
  <c r="H263" i="2"/>
  <c r="G263" i="2"/>
  <c r="W262" i="2"/>
  <c r="L262" i="2"/>
  <c r="J262" i="2"/>
  <c r="G262" i="2"/>
  <c r="S261" i="2"/>
  <c r="H261" i="2"/>
  <c r="Z256" i="2"/>
  <c r="Y256" i="2"/>
  <c r="X256" i="2"/>
  <c r="V256" i="2"/>
  <c r="T256" i="2"/>
  <c r="P256" i="2"/>
  <c r="R256" i="2" s="1"/>
  <c r="Y255" i="2"/>
  <c r="Z255" i="2" s="1"/>
  <c r="X255" i="2"/>
  <c r="V255" i="2"/>
  <c r="T255" i="2"/>
  <c r="R255" i="2"/>
  <c r="P255" i="2"/>
  <c r="Y254" i="2"/>
  <c r="Z254" i="2" s="1"/>
  <c r="P254" i="2"/>
  <c r="Y253" i="2"/>
  <c r="Z253" i="2" s="1"/>
  <c r="V253" i="2"/>
  <c r="P253" i="2"/>
  <c r="Z252" i="2"/>
  <c r="Y252" i="2"/>
  <c r="P252" i="2"/>
  <c r="I250" i="2"/>
  <c r="W249" i="2"/>
  <c r="U249" i="2"/>
  <c r="S249" i="2"/>
  <c r="Q249" i="2"/>
  <c r="O249" i="2"/>
  <c r="O222" i="2" s="1"/>
  <c r="N249" i="2"/>
  <c r="M249" i="2"/>
  <c r="L249" i="2"/>
  <c r="K249" i="2"/>
  <c r="J249" i="2"/>
  <c r="I249" i="2"/>
  <c r="H249" i="2"/>
  <c r="G249" i="2"/>
  <c r="G222" i="2" s="1"/>
  <c r="Z248" i="2"/>
  <c r="Z249" i="2" s="1"/>
  <c r="Z222" i="2" s="1"/>
  <c r="Y248" i="2"/>
  <c r="Y249" i="2" s="1"/>
  <c r="Y222" i="2" s="1"/>
  <c r="V248" i="2"/>
  <c r="T248" i="2"/>
  <c r="R248" i="2"/>
  <c r="P248" i="2"/>
  <c r="X248" i="2" s="1"/>
  <c r="Z247" i="2"/>
  <c r="Z250" i="2" s="1"/>
  <c r="Y247" i="2"/>
  <c r="W247" i="2"/>
  <c r="U247" i="2"/>
  <c r="S247" i="2"/>
  <c r="Q247" i="2"/>
  <c r="O247" i="2"/>
  <c r="N247" i="2"/>
  <c r="M247" i="2"/>
  <c r="L247" i="2"/>
  <c r="J247" i="2"/>
  <c r="J250" i="2" s="1"/>
  <c r="I247" i="2"/>
  <c r="H247" i="2"/>
  <c r="G247" i="2"/>
  <c r="T246" i="2"/>
  <c r="P246" i="2"/>
  <c r="Z245" i="2"/>
  <c r="Y245" i="2"/>
  <c r="K245" i="2"/>
  <c r="X244" i="2"/>
  <c r="V244" i="2"/>
  <c r="P244" i="2"/>
  <c r="T244" i="2" s="1"/>
  <c r="X243" i="2"/>
  <c r="T243" i="2"/>
  <c r="P243" i="2"/>
  <c r="V243" i="2" s="1"/>
  <c r="Z242" i="2"/>
  <c r="Y242" i="2"/>
  <c r="W242" i="2"/>
  <c r="U242" i="2"/>
  <c r="S242" i="2"/>
  <c r="S220" i="2" s="1"/>
  <c r="Q242" i="2"/>
  <c r="O242" i="2"/>
  <c r="N242" i="2"/>
  <c r="M242" i="2"/>
  <c r="L242" i="2"/>
  <c r="L250" i="2" s="1"/>
  <c r="K242" i="2"/>
  <c r="K220" i="2" s="1"/>
  <c r="J242" i="2"/>
  <c r="I242" i="2"/>
  <c r="H242" i="2"/>
  <c r="G242" i="2"/>
  <c r="V241" i="2"/>
  <c r="T241" i="2"/>
  <c r="R241" i="2"/>
  <c r="P241" i="2"/>
  <c r="X241" i="2" s="1"/>
  <c r="P240" i="2"/>
  <c r="X239" i="2"/>
  <c r="V239" i="2"/>
  <c r="P239" i="2"/>
  <c r="T239" i="2" s="1"/>
  <c r="Z235" i="2"/>
  <c r="W235" i="2"/>
  <c r="O235" i="2"/>
  <c r="H235" i="2"/>
  <c r="G235" i="2"/>
  <c r="W234" i="2"/>
  <c r="U234" i="2"/>
  <c r="U235" i="2" s="1"/>
  <c r="S234" i="2"/>
  <c r="Q234" i="2"/>
  <c r="Q235" i="2" s="1"/>
  <c r="O234" i="2"/>
  <c r="N234" i="2"/>
  <c r="N235" i="2" s="1"/>
  <c r="M234" i="2"/>
  <c r="M235" i="2" s="1"/>
  <c r="L234" i="2"/>
  <c r="L235" i="2" s="1"/>
  <c r="K234" i="2"/>
  <c r="K235" i="2" s="1"/>
  <c r="J234" i="2"/>
  <c r="J235" i="2" s="1"/>
  <c r="I234" i="2"/>
  <c r="I235" i="2" s="1"/>
  <c r="H234" i="2"/>
  <c r="G234" i="2"/>
  <c r="Z233" i="2"/>
  <c r="Z234" i="2" s="1"/>
  <c r="Y233" i="2"/>
  <c r="Y234" i="2" s="1"/>
  <c r="Y235" i="2" s="1"/>
  <c r="X233" i="2"/>
  <c r="V233" i="2"/>
  <c r="T233" i="2"/>
  <c r="P233" i="2"/>
  <c r="R233" i="2" s="1"/>
  <c r="W229" i="2"/>
  <c r="O229" i="2"/>
  <c r="N229" i="2"/>
  <c r="N221" i="2" s="1"/>
  <c r="M229" i="2"/>
  <c r="I229" i="2"/>
  <c r="I221" i="2" s="1"/>
  <c r="G229" i="2"/>
  <c r="W228" i="2"/>
  <c r="U228" i="2"/>
  <c r="S228" i="2"/>
  <c r="Q228" i="2"/>
  <c r="O228" i="2"/>
  <c r="N228" i="2"/>
  <c r="M228" i="2"/>
  <c r="L228" i="2"/>
  <c r="L229" i="2" s="1"/>
  <c r="K228" i="2"/>
  <c r="K229" i="2" s="1"/>
  <c r="J228" i="2"/>
  <c r="J229" i="2" s="1"/>
  <c r="I228" i="2"/>
  <c r="H228" i="2"/>
  <c r="H229" i="2" s="1"/>
  <c r="G228" i="2"/>
  <c r="Y227" i="2"/>
  <c r="Z227" i="2" s="1"/>
  <c r="Z228" i="2" s="1"/>
  <c r="Z229" i="2" s="1"/>
  <c r="V227" i="2"/>
  <c r="T227" i="2"/>
  <c r="R227" i="2"/>
  <c r="P227" i="2"/>
  <c r="P228" i="2" s="1"/>
  <c r="P229" i="2" s="1"/>
  <c r="U222" i="2"/>
  <c r="M222" i="2"/>
  <c r="L222" i="2"/>
  <c r="K222" i="2"/>
  <c r="J222" i="2"/>
  <c r="I222" i="2"/>
  <c r="H222" i="2"/>
  <c r="M221" i="2"/>
  <c r="L221" i="2"/>
  <c r="L223" i="2" s="1"/>
  <c r="Z220" i="2"/>
  <c r="Y220" i="2"/>
  <c r="U220" i="2"/>
  <c r="Q220" i="2"/>
  <c r="N220" i="2"/>
  <c r="L220" i="2"/>
  <c r="J220" i="2"/>
  <c r="I220" i="2"/>
  <c r="I223" i="2" s="1"/>
  <c r="H220" i="2"/>
  <c r="Y216" i="2"/>
  <c r="Z216" i="2" s="1"/>
  <c r="P216" i="2"/>
  <c r="V216" i="2" s="1"/>
  <c r="Y215" i="2"/>
  <c r="Z215" i="2" s="1"/>
  <c r="V215" i="2"/>
  <c r="R215" i="2"/>
  <c r="P215" i="2"/>
  <c r="T215" i="2" s="1"/>
  <c r="Z214" i="2"/>
  <c r="Y214" i="2"/>
  <c r="V214" i="2"/>
  <c r="T214" i="2"/>
  <c r="P214" i="2"/>
  <c r="Z213" i="2"/>
  <c r="Y213" i="2"/>
  <c r="V213" i="2"/>
  <c r="T213" i="2"/>
  <c r="R213" i="2"/>
  <c r="P213" i="2"/>
  <c r="X213" i="2" s="1"/>
  <c r="Z212" i="2"/>
  <c r="Y212" i="2"/>
  <c r="X212" i="2"/>
  <c r="P212" i="2"/>
  <c r="Y211" i="2"/>
  <c r="Z211" i="2" s="1"/>
  <c r="P211" i="2"/>
  <c r="O209" i="2"/>
  <c r="W208" i="2"/>
  <c r="U208" i="2"/>
  <c r="S208" i="2"/>
  <c r="S193" i="2" s="1"/>
  <c r="Q208" i="2"/>
  <c r="O208" i="2"/>
  <c r="N208" i="2"/>
  <c r="M208" i="2"/>
  <c r="L208" i="2"/>
  <c r="L193" i="2" s="1"/>
  <c r="K208" i="2"/>
  <c r="K193" i="2" s="1"/>
  <c r="J208" i="2"/>
  <c r="J209" i="2" s="1"/>
  <c r="I208" i="2"/>
  <c r="H208" i="2"/>
  <c r="H193" i="2" s="1"/>
  <c r="G208" i="2"/>
  <c r="Z207" i="2"/>
  <c r="Z208" i="2" s="1"/>
  <c r="Z193" i="2" s="1"/>
  <c r="Y207" i="2"/>
  <c r="Y208" i="2" s="1"/>
  <c r="Y193" i="2" s="1"/>
  <c r="X207" i="2"/>
  <c r="V207" i="2"/>
  <c r="T207" i="2"/>
  <c r="P207" i="2"/>
  <c r="R207" i="2" s="1"/>
  <c r="Y206" i="2"/>
  <c r="W206" i="2"/>
  <c r="U206" i="2"/>
  <c r="S206" i="2"/>
  <c r="Q206" i="2"/>
  <c r="O206" i="2"/>
  <c r="O192" i="2" s="1"/>
  <c r="N206" i="2"/>
  <c r="N209" i="2" s="1"/>
  <c r="M206" i="2"/>
  <c r="M192" i="2" s="1"/>
  <c r="L206" i="2"/>
  <c r="J206" i="2"/>
  <c r="I206" i="2"/>
  <c r="I192" i="2" s="1"/>
  <c r="H206" i="2"/>
  <c r="G206" i="2"/>
  <c r="G192" i="2" s="1"/>
  <c r="P205" i="2"/>
  <c r="Z204" i="2"/>
  <c r="Z206" i="2" s="1"/>
  <c r="Z192" i="2" s="1"/>
  <c r="Y204" i="2"/>
  <c r="K204" i="2"/>
  <c r="X203" i="2"/>
  <c r="T203" i="2"/>
  <c r="R203" i="2"/>
  <c r="P203" i="2"/>
  <c r="V203" i="2" s="1"/>
  <c r="V202" i="2"/>
  <c r="T202" i="2"/>
  <c r="R202" i="2"/>
  <c r="P202" i="2"/>
  <c r="X202" i="2" s="1"/>
  <c r="Y201" i="2"/>
  <c r="W201" i="2"/>
  <c r="U201" i="2"/>
  <c r="S201" i="2"/>
  <c r="Q201" i="2"/>
  <c r="O201" i="2"/>
  <c r="N201" i="2"/>
  <c r="M201" i="2"/>
  <c r="L201" i="2"/>
  <c r="K201" i="2"/>
  <c r="J201" i="2"/>
  <c r="I201" i="2"/>
  <c r="H201" i="2"/>
  <c r="H191" i="2" s="1"/>
  <c r="H194" i="2" s="1"/>
  <c r="G201" i="2"/>
  <c r="Y200" i="2"/>
  <c r="Z200" i="2" s="1"/>
  <c r="X200" i="2"/>
  <c r="T200" i="2"/>
  <c r="R200" i="2"/>
  <c r="P200" i="2"/>
  <c r="V200" i="2" s="1"/>
  <c r="Y199" i="2"/>
  <c r="Z199" i="2" s="1"/>
  <c r="P199" i="2"/>
  <c r="Z198" i="2"/>
  <c r="Z201" i="2" s="1"/>
  <c r="Y198" i="2"/>
  <c r="P198" i="2"/>
  <c r="S194" i="2"/>
  <c r="U193" i="2"/>
  <c r="Q193" i="2"/>
  <c r="O193" i="2"/>
  <c r="N193" i="2"/>
  <c r="M193" i="2"/>
  <c r="I193" i="2"/>
  <c r="G193" i="2"/>
  <c r="Y192" i="2"/>
  <c r="U192" i="2"/>
  <c r="S192" i="2"/>
  <c r="Q192" i="2"/>
  <c r="N192" i="2"/>
  <c r="L192" i="2"/>
  <c r="J192" i="2"/>
  <c r="H192" i="2"/>
  <c r="Y191" i="2"/>
  <c r="Y194" i="2" s="1"/>
  <c r="W191" i="2"/>
  <c r="S191" i="2"/>
  <c r="Q191" i="2"/>
  <c r="O191" i="2"/>
  <c r="N191" i="2"/>
  <c r="K191" i="2"/>
  <c r="J191" i="2"/>
  <c r="I191" i="2"/>
  <c r="I194" i="2" s="1"/>
  <c r="G191" i="2"/>
  <c r="P187" i="2"/>
  <c r="Z186" i="2"/>
  <c r="Y186" i="2"/>
  <c r="X186" i="2"/>
  <c r="V186" i="2"/>
  <c r="T186" i="2"/>
  <c r="P186" i="2"/>
  <c r="R186" i="2" s="1"/>
  <c r="P185" i="2"/>
  <c r="Z184" i="2"/>
  <c r="Y184" i="2"/>
  <c r="P184" i="2"/>
  <c r="Z183" i="2"/>
  <c r="Y183" i="2"/>
  <c r="V183" i="2"/>
  <c r="T183" i="2"/>
  <c r="R183" i="2"/>
  <c r="P183" i="2"/>
  <c r="X183" i="2" s="1"/>
  <c r="Y182" i="2"/>
  <c r="Z182" i="2" s="1"/>
  <c r="X182" i="2"/>
  <c r="P182" i="2"/>
  <c r="Y181" i="2"/>
  <c r="Z181" i="2" s="1"/>
  <c r="X181" i="2"/>
  <c r="P181" i="2"/>
  <c r="H179" i="2"/>
  <c r="Z178" i="2"/>
  <c r="Z163" i="2" s="1"/>
  <c r="Y178" i="2"/>
  <c r="W178" i="2"/>
  <c r="X178" i="2" s="1"/>
  <c r="V178" i="2"/>
  <c r="U178" i="2"/>
  <c r="S178" i="2"/>
  <c r="R178" i="2"/>
  <c r="Q178" i="2"/>
  <c r="P178" i="2"/>
  <c r="P163" i="2" s="1"/>
  <c r="O178" i="2"/>
  <c r="N178" i="2"/>
  <c r="N163" i="2" s="1"/>
  <c r="M178" i="2"/>
  <c r="L178" i="2"/>
  <c r="L163" i="2" s="1"/>
  <c r="K178" i="2"/>
  <c r="J178" i="2"/>
  <c r="I178" i="2"/>
  <c r="H178" i="2"/>
  <c r="H163" i="2" s="1"/>
  <c r="G178" i="2"/>
  <c r="G163" i="2" s="1"/>
  <c r="Z177" i="2"/>
  <c r="V177" i="2"/>
  <c r="T177" i="2"/>
  <c r="R177" i="2"/>
  <c r="P177" i="2"/>
  <c r="X177" i="2" s="1"/>
  <c r="W176" i="2"/>
  <c r="U176" i="2"/>
  <c r="S176" i="2"/>
  <c r="Q176" i="2"/>
  <c r="Q162" i="2" s="1"/>
  <c r="O176" i="2"/>
  <c r="N176" i="2"/>
  <c r="M176" i="2"/>
  <c r="L176" i="2"/>
  <c r="L162" i="2" s="1"/>
  <c r="K176" i="2"/>
  <c r="J176" i="2"/>
  <c r="I176" i="2"/>
  <c r="H176" i="2"/>
  <c r="H162" i="2" s="1"/>
  <c r="G176" i="2"/>
  <c r="X175" i="2"/>
  <c r="V175" i="2"/>
  <c r="T175" i="2"/>
  <c r="P175" i="2"/>
  <c r="R175" i="2" s="1"/>
  <c r="Z174" i="2"/>
  <c r="Y174" i="2"/>
  <c r="V174" i="2"/>
  <c r="T174" i="2"/>
  <c r="R174" i="2"/>
  <c r="P174" i="2"/>
  <c r="X174" i="2" s="1"/>
  <c r="Y173" i="2"/>
  <c r="T173" i="2"/>
  <c r="R173" i="2"/>
  <c r="P173" i="2"/>
  <c r="V173" i="2" s="1"/>
  <c r="Y172" i="2"/>
  <c r="Z172" i="2" s="1"/>
  <c r="X172" i="2"/>
  <c r="V172" i="2"/>
  <c r="R172" i="2"/>
  <c r="P172" i="2"/>
  <c r="T172" i="2" s="1"/>
  <c r="Z171" i="2"/>
  <c r="W171" i="2"/>
  <c r="W179" i="2" s="1"/>
  <c r="U171" i="2"/>
  <c r="S171" i="2"/>
  <c r="S161" i="2" s="1"/>
  <c r="Q171" i="2"/>
  <c r="O171" i="2"/>
  <c r="N171" i="2"/>
  <c r="N179" i="2" s="1"/>
  <c r="M171" i="2"/>
  <c r="M179" i="2" s="1"/>
  <c r="L171" i="2"/>
  <c r="K171" i="2"/>
  <c r="K161" i="2" s="1"/>
  <c r="J171" i="2"/>
  <c r="J179" i="2" s="1"/>
  <c r="I171" i="2"/>
  <c r="I179" i="2" s="1"/>
  <c r="H171" i="2"/>
  <c r="H161" i="2" s="1"/>
  <c r="G171" i="2"/>
  <c r="X170" i="2"/>
  <c r="T170" i="2"/>
  <c r="P170" i="2"/>
  <c r="V170" i="2" s="1"/>
  <c r="Y169" i="2"/>
  <c r="Z169" i="2" s="1"/>
  <c r="X169" i="2"/>
  <c r="R169" i="2"/>
  <c r="P169" i="2"/>
  <c r="T169" i="2" s="1"/>
  <c r="Z168" i="2"/>
  <c r="Y168" i="2"/>
  <c r="Y171" i="2" s="1"/>
  <c r="P168" i="2"/>
  <c r="Y163" i="2"/>
  <c r="W163" i="2"/>
  <c r="X163" i="2" s="1"/>
  <c r="V163" i="2"/>
  <c r="U163" i="2"/>
  <c r="R163" i="2"/>
  <c r="Q163" i="2"/>
  <c r="O163" i="2"/>
  <c r="M163" i="2"/>
  <c r="J163" i="2"/>
  <c r="I163" i="2"/>
  <c r="W162" i="2"/>
  <c r="S162" i="2"/>
  <c r="O162" i="2"/>
  <c r="N162" i="2"/>
  <c r="M162" i="2"/>
  <c r="K162" i="2"/>
  <c r="J162" i="2"/>
  <c r="I162" i="2"/>
  <c r="G162" i="2"/>
  <c r="Y161" i="2"/>
  <c r="W161" i="2"/>
  <c r="U161" i="2"/>
  <c r="Q161" i="2"/>
  <c r="M161" i="2"/>
  <c r="M164" i="2" s="1"/>
  <c r="J161" i="2"/>
  <c r="J164" i="2" s="1"/>
  <c r="I161" i="2"/>
  <c r="I164" i="2" s="1"/>
  <c r="S157" i="2"/>
  <c r="Q157" i="2"/>
  <c r="K157" i="2"/>
  <c r="J157" i="2"/>
  <c r="Z156" i="2"/>
  <c r="Z157" i="2" s="1"/>
  <c r="Y156" i="2"/>
  <c r="Y157" i="2" s="1"/>
  <c r="W156" i="2"/>
  <c r="U156" i="2"/>
  <c r="S156" i="2"/>
  <c r="Q156" i="2"/>
  <c r="O156" i="2"/>
  <c r="O157" i="2" s="1"/>
  <c r="N156" i="2"/>
  <c r="N157" i="2" s="1"/>
  <c r="M156" i="2"/>
  <c r="M157" i="2" s="1"/>
  <c r="L156" i="2"/>
  <c r="L157" i="2" s="1"/>
  <c r="K156" i="2"/>
  <c r="J156" i="2"/>
  <c r="I156" i="2"/>
  <c r="I157" i="2" s="1"/>
  <c r="H156" i="2"/>
  <c r="H157" i="2" s="1"/>
  <c r="G156" i="2"/>
  <c r="G157" i="2" s="1"/>
  <c r="X155" i="2"/>
  <c r="V155" i="2"/>
  <c r="P155" i="2"/>
  <c r="X154" i="2"/>
  <c r="T154" i="2"/>
  <c r="R154" i="2"/>
  <c r="P154" i="2"/>
  <c r="V154" i="2" s="1"/>
  <c r="V153" i="2"/>
  <c r="T153" i="2"/>
  <c r="R153" i="2"/>
  <c r="P153" i="2"/>
  <c r="X153" i="2" s="1"/>
  <c r="Y149" i="2"/>
  <c r="Z149" i="2" s="1"/>
  <c r="X149" i="2"/>
  <c r="P149" i="2"/>
  <c r="Y148" i="2"/>
  <c r="Z148" i="2" s="1"/>
  <c r="X148" i="2"/>
  <c r="P148" i="2"/>
  <c r="Z147" i="2"/>
  <c r="Y147" i="2"/>
  <c r="X147" i="2"/>
  <c r="V147" i="2"/>
  <c r="T147" i="2"/>
  <c r="P147" i="2"/>
  <c r="R147" i="2" s="1"/>
  <c r="Y146" i="2"/>
  <c r="Z146" i="2" s="1"/>
  <c r="V146" i="2"/>
  <c r="T146" i="2"/>
  <c r="R146" i="2"/>
  <c r="P146" i="2"/>
  <c r="X146" i="2" s="1"/>
  <c r="Q144" i="2"/>
  <c r="N144" i="2"/>
  <c r="W143" i="2"/>
  <c r="U143" i="2"/>
  <c r="U144" i="2" s="1"/>
  <c r="S143" i="2"/>
  <c r="Q143" i="2"/>
  <c r="O143" i="2"/>
  <c r="N143" i="2"/>
  <c r="M143" i="2"/>
  <c r="M144" i="2" s="1"/>
  <c r="L143" i="2"/>
  <c r="L144" i="2" s="1"/>
  <c r="K143" i="2"/>
  <c r="J143" i="2"/>
  <c r="I143" i="2"/>
  <c r="H143" i="2"/>
  <c r="H144" i="2" s="1"/>
  <c r="G143" i="2"/>
  <c r="Y142" i="2"/>
  <c r="Z142" i="2" s="1"/>
  <c r="X142" i="2"/>
  <c r="T142" i="2"/>
  <c r="P142" i="2"/>
  <c r="V142" i="2" s="1"/>
  <c r="J142" i="2"/>
  <c r="Y141" i="2"/>
  <c r="T141" i="2"/>
  <c r="P141" i="2"/>
  <c r="V141" i="2" s="1"/>
  <c r="Z140" i="2"/>
  <c r="Y140" i="2"/>
  <c r="P140" i="2"/>
  <c r="Z139" i="2"/>
  <c r="Y139" i="2"/>
  <c r="W139" i="2"/>
  <c r="U139" i="2"/>
  <c r="S139" i="2"/>
  <c r="S144" i="2" s="1"/>
  <c r="Q139" i="2"/>
  <c r="O139" i="2"/>
  <c r="O144" i="2" s="1"/>
  <c r="N139" i="2"/>
  <c r="M139" i="2"/>
  <c r="L139" i="2"/>
  <c r="K139" i="2"/>
  <c r="K144" i="2" s="1"/>
  <c r="J139" i="2"/>
  <c r="I139" i="2"/>
  <c r="I144" i="2" s="1"/>
  <c r="H139" i="2"/>
  <c r="G139" i="2"/>
  <c r="G144" i="2" s="1"/>
  <c r="P138" i="2"/>
  <c r="W134" i="2"/>
  <c r="U134" i="2"/>
  <c r="M134" i="2"/>
  <c r="L134" i="2"/>
  <c r="G134" i="2"/>
  <c r="Y133" i="2"/>
  <c r="W133" i="2"/>
  <c r="X133" i="2" s="1"/>
  <c r="U133" i="2"/>
  <c r="S133" i="2"/>
  <c r="Q133" i="2"/>
  <c r="O133" i="2"/>
  <c r="O134" i="2" s="1"/>
  <c r="N133" i="2"/>
  <c r="M133" i="2"/>
  <c r="L133" i="2"/>
  <c r="K133" i="2"/>
  <c r="J133" i="2"/>
  <c r="I133" i="2"/>
  <c r="H133" i="2"/>
  <c r="G133" i="2"/>
  <c r="Z132" i="2"/>
  <c r="Y132" i="2"/>
  <c r="X132" i="2"/>
  <c r="P132" i="2"/>
  <c r="T132" i="2" s="1"/>
  <c r="Z131" i="2"/>
  <c r="Z133" i="2" s="1"/>
  <c r="Y131" i="2"/>
  <c r="T131" i="2"/>
  <c r="P131" i="2"/>
  <c r="P133" i="2" s="1"/>
  <c r="X130" i="2"/>
  <c r="W130" i="2"/>
  <c r="U130" i="2"/>
  <c r="V130" i="2" s="1"/>
  <c r="S130" i="2"/>
  <c r="R130" i="2"/>
  <c r="Q130" i="2"/>
  <c r="P130" i="2"/>
  <c r="O130" i="2"/>
  <c r="N130" i="2"/>
  <c r="N134" i="2" s="1"/>
  <c r="M130" i="2"/>
  <c r="L130" i="2"/>
  <c r="K130" i="2"/>
  <c r="K134" i="2" s="1"/>
  <c r="J130" i="2"/>
  <c r="J134" i="2" s="1"/>
  <c r="I130" i="2"/>
  <c r="H130" i="2"/>
  <c r="H134" i="2" s="1"/>
  <c r="G130" i="2"/>
  <c r="V129" i="2"/>
  <c r="T129" i="2"/>
  <c r="R129" i="2"/>
  <c r="P129" i="2"/>
  <c r="X129" i="2" s="1"/>
  <c r="K129" i="2"/>
  <c r="W125" i="2"/>
  <c r="O125" i="2"/>
  <c r="I125" i="2"/>
  <c r="G125" i="2"/>
  <c r="X124" i="2"/>
  <c r="W124" i="2"/>
  <c r="U124" i="2"/>
  <c r="V124" i="2" s="1"/>
  <c r="S124" i="2"/>
  <c r="T124" i="2" s="1"/>
  <c r="Q124" i="2"/>
  <c r="R124" i="2" s="1"/>
  <c r="P124" i="2"/>
  <c r="O124" i="2"/>
  <c r="N124" i="2"/>
  <c r="M124" i="2"/>
  <c r="L124" i="2"/>
  <c r="K124" i="2"/>
  <c r="J124" i="2"/>
  <c r="I124" i="2"/>
  <c r="H124" i="2"/>
  <c r="G124" i="2"/>
  <c r="Y123" i="2"/>
  <c r="V123" i="2"/>
  <c r="T123" i="2"/>
  <c r="P123" i="2"/>
  <c r="X123" i="2" s="1"/>
  <c r="W122" i="2"/>
  <c r="U122" i="2"/>
  <c r="S122" i="2"/>
  <c r="Q122" i="2"/>
  <c r="O122" i="2"/>
  <c r="N122" i="2"/>
  <c r="M122" i="2"/>
  <c r="L122" i="2"/>
  <c r="L125" i="2" s="1"/>
  <c r="K122" i="2"/>
  <c r="J122" i="2"/>
  <c r="I122" i="2"/>
  <c r="H122" i="2"/>
  <c r="G122" i="2"/>
  <c r="Y121" i="2"/>
  <c r="Z121" i="2" s="1"/>
  <c r="Z122" i="2" s="1"/>
  <c r="X121" i="2"/>
  <c r="V121" i="2"/>
  <c r="P121" i="2"/>
  <c r="T121" i="2" s="1"/>
  <c r="Z120" i="2"/>
  <c r="Y120" i="2"/>
  <c r="V120" i="2"/>
  <c r="T120" i="2"/>
  <c r="P120" i="2"/>
  <c r="K120" i="2"/>
  <c r="V119" i="2"/>
  <c r="T119" i="2"/>
  <c r="R119" i="2"/>
  <c r="P119" i="2"/>
  <c r="X119" i="2" s="1"/>
  <c r="V118" i="2"/>
  <c r="T118" i="2"/>
  <c r="P118" i="2"/>
  <c r="W117" i="2"/>
  <c r="U117" i="2"/>
  <c r="S117" i="2"/>
  <c r="Q117" i="2"/>
  <c r="O117" i="2"/>
  <c r="N117" i="2"/>
  <c r="N125" i="2" s="1"/>
  <c r="M117" i="2"/>
  <c r="L117" i="2"/>
  <c r="K117" i="2"/>
  <c r="J117" i="2"/>
  <c r="J125" i="2" s="1"/>
  <c r="I117" i="2"/>
  <c r="H117" i="2"/>
  <c r="G117" i="2"/>
  <c r="Z116" i="2"/>
  <c r="Y116" i="2"/>
  <c r="V116" i="2"/>
  <c r="T116" i="2"/>
  <c r="R116" i="2"/>
  <c r="P116" i="2"/>
  <c r="X116" i="2" s="1"/>
  <c r="Y115" i="2"/>
  <c r="Z115" i="2" s="1"/>
  <c r="P115" i="2"/>
  <c r="Z114" i="2"/>
  <c r="Y114" i="2"/>
  <c r="P114" i="2"/>
  <c r="Y110" i="2"/>
  <c r="W110" i="2"/>
  <c r="X110" i="2" s="1"/>
  <c r="V110" i="2"/>
  <c r="Q110" i="2"/>
  <c r="R110" i="2" s="1"/>
  <c r="N110" i="2"/>
  <c r="L110" i="2"/>
  <c r="K110" i="2"/>
  <c r="I110" i="2"/>
  <c r="Z109" i="2"/>
  <c r="Z110" i="2" s="1"/>
  <c r="Y109" i="2"/>
  <c r="W109" i="2"/>
  <c r="X109" i="2" s="1"/>
  <c r="V109" i="2"/>
  <c r="U109" i="2"/>
  <c r="U110" i="2" s="1"/>
  <c r="S109" i="2"/>
  <c r="T109" i="2" s="1"/>
  <c r="R109" i="2"/>
  <c r="Q109" i="2"/>
  <c r="P109" i="2"/>
  <c r="P110" i="2" s="1"/>
  <c r="O109" i="2"/>
  <c r="O110" i="2" s="1"/>
  <c r="N109" i="2"/>
  <c r="M109" i="2"/>
  <c r="M110" i="2" s="1"/>
  <c r="L109" i="2"/>
  <c r="K109" i="2"/>
  <c r="J109" i="2"/>
  <c r="J110" i="2" s="1"/>
  <c r="I109" i="2"/>
  <c r="H109" i="2"/>
  <c r="H110" i="2" s="1"/>
  <c r="G109" i="2"/>
  <c r="G110" i="2" s="1"/>
  <c r="Z108" i="2"/>
  <c r="X108" i="2"/>
  <c r="V108" i="2"/>
  <c r="T108" i="2"/>
  <c r="R108" i="2"/>
  <c r="P108" i="2"/>
  <c r="Y104" i="2"/>
  <c r="Z104" i="2" s="1"/>
  <c r="X104" i="2"/>
  <c r="V104" i="2"/>
  <c r="P104" i="2"/>
  <c r="T104" i="2" s="1"/>
  <c r="Y103" i="2"/>
  <c r="Z103" i="2" s="1"/>
  <c r="P103" i="2"/>
  <c r="Z102" i="2"/>
  <c r="Y102" i="2"/>
  <c r="X102" i="2"/>
  <c r="V102" i="2"/>
  <c r="T102" i="2"/>
  <c r="R102" i="2"/>
  <c r="P102" i="2"/>
  <c r="Z101" i="2"/>
  <c r="Y101" i="2"/>
  <c r="P101" i="2"/>
  <c r="G101" i="2"/>
  <c r="Y100" i="2"/>
  <c r="Z100" i="2" s="1"/>
  <c r="P100" i="2"/>
  <c r="G100" i="2"/>
  <c r="Q98" i="2"/>
  <c r="N98" i="2"/>
  <c r="Y97" i="2"/>
  <c r="W97" i="2"/>
  <c r="U97" i="2"/>
  <c r="S97" i="2"/>
  <c r="T97" i="2" s="1"/>
  <c r="R97" i="2"/>
  <c r="Q97" i="2"/>
  <c r="P97" i="2"/>
  <c r="O97" i="2"/>
  <c r="N97" i="2"/>
  <c r="M97" i="2"/>
  <c r="L97" i="2"/>
  <c r="K97" i="2"/>
  <c r="J97" i="2"/>
  <c r="I97" i="2"/>
  <c r="H97" i="2"/>
  <c r="G97" i="2"/>
  <c r="G98" i="2" s="1"/>
  <c r="Z96" i="2"/>
  <c r="Z97" i="2" s="1"/>
  <c r="Y96" i="2"/>
  <c r="V96" i="2"/>
  <c r="T96" i="2"/>
  <c r="R96" i="2"/>
  <c r="P96" i="2"/>
  <c r="X96" i="2" s="1"/>
  <c r="Y95" i="2"/>
  <c r="W95" i="2"/>
  <c r="U95" i="2"/>
  <c r="S95" i="2"/>
  <c r="Q95" i="2"/>
  <c r="P95" i="2"/>
  <c r="X95" i="2" s="1"/>
  <c r="O95" i="2"/>
  <c r="N95" i="2"/>
  <c r="M95" i="2"/>
  <c r="L95" i="2"/>
  <c r="L98" i="2" s="1"/>
  <c r="J95" i="2"/>
  <c r="J98" i="2" s="1"/>
  <c r="I95" i="2"/>
  <c r="H95" i="2"/>
  <c r="G95" i="2"/>
  <c r="T94" i="2"/>
  <c r="P94" i="2"/>
  <c r="V94" i="2" s="1"/>
  <c r="Z93" i="2"/>
  <c r="Z95" i="2" s="1"/>
  <c r="Z98" i="2" s="1"/>
  <c r="Y93" i="2"/>
  <c r="P93" i="2"/>
  <c r="K93" i="2"/>
  <c r="K95" i="2" s="1"/>
  <c r="X92" i="2"/>
  <c r="V92" i="2"/>
  <c r="R92" i="2"/>
  <c r="P92" i="2"/>
  <c r="T92" i="2" s="1"/>
  <c r="V91" i="2"/>
  <c r="P91" i="2"/>
  <c r="Z90" i="2"/>
  <c r="Y90" i="2"/>
  <c r="W90" i="2"/>
  <c r="U90" i="2"/>
  <c r="S90" i="2"/>
  <c r="Q90" i="2"/>
  <c r="O90" i="2"/>
  <c r="O98" i="2" s="1"/>
  <c r="N90" i="2"/>
  <c r="M90" i="2"/>
  <c r="M98" i="2" s="1"/>
  <c r="L90" i="2"/>
  <c r="K90" i="2"/>
  <c r="K98" i="2" s="1"/>
  <c r="J90" i="2"/>
  <c r="I90" i="2"/>
  <c r="I98" i="2" s="1"/>
  <c r="H90" i="2"/>
  <c r="H98" i="2" s="1"/>
  <c r="G90" i="2"/>
  <c r="X89" i="2"/>
  <c r="V89" i="2"/>
  <c r="T89" i="2"/>
  <c r="R89" i="2"/>
  <c r="P89" i="2"/>
  <c r="P88" i="2"/>
  <c r="R87" i="2"/>
  <c r="P87" i="2"/>
  <c r="Z83" i="2"/>
  <c r="Y83" i="2"/>
  <c r="X83" i="2"/>
  <c r="V83" i="2"/>
  <c r="T83" i="2"/>
  <c r="P83" i="2"/>
  <c r="R83" i="2" s="1"/>
  <c r="Z82" i="2"/>
  <c r="Y82" i="2"/>
  <c r="X82" i="2"/>
  <c r="V82" i="2"/>
  <c r="T82" i="2"/>
  <c r="R82" i="2"/>
  <c r="P82" i="2"/>
  <c r="Y81" i="2"/>
  <c r="Z81" i="2" s="1"/>
  <c r="X81" i="2"/>
  <c r="P81" i="2"/>
  <c r="Y80" i="2"/>
  <c r="Z80" i="2" s="1"/>
  <c r="X80" i="2"/>
  <c r="V80" i="2"/>
  <c r="T80" i="2"/>
  <c r="R80" i="2"/>
  <c r="P80" i="2"/>
  <c r="Z79" i="2"/>
  <c r="Y79" i="2"/>
  <c r="P79" i="2"/>
  <c r="W77" i="2"/>
  <c r="S77" i="2"/>
  <c r="K77" i="2"/>
  <c r="J77" i="2"/>
  <c r="I77" i="2"/>
  <c r="W76" i="2"/>
  <c r="U76" i="2"/>
  <c r="U77" i="2" s="1"/>
  <c r="S76" i="2"/>
  <c r="Q76" i="2"/>
  <c r="O76" i="2"/>
  <c r="N76" i="2"/>
  <c r="M76" i="2"/>
  <c r="M77" i="2" s="1"/>
  <c r="L76" i="2"/>
  <c r="K76" i="2"/>
  <c r="J76" i="2"/>
  <c r="I76" i="2"/>
  <c r="H76" i="2"/>
  <c r="G76" i="2"/>
  <c r="Y75" i="2"/>
  <c r="Z75" i="2" s="1"/>
  <c r="V75" i="2"/>
  <c r="T75" i="2"/>
  <c r="P75" i="2"/>
  <c r="X75" i="2" s="1"/>
  <c r="Z74" i="2"/>
  <c r="Y74" i="2"/>
  <c r="Y76" i="2" s="1"/>
  <c r="P74" i="2"/>
  <c r="Y73" i="2"/>
  <c r="Z73" i="2" s="1"/>
  <c r="P73" i="2"/>
  <c r="Y72" i="2"/>
  <c r="Y77" i="2" s="1"/>
  <c r="W72" i="2"/>
  <c r="V72" i="2"/>
  <c r="U72" i="2"/>
  <c r="S72" i="2"/>
  <c r="Q72" i="2"/>
  <c r="O72" i="2"/>
  <c r="O77" i="2" s="1"/>
  <c r="N72" i="2"/>
  <c r="N77" i="2" s="1"/>
  <c r="M72" i="2"/>
  <c r="L72" i="2"/>
  <c r="L77" i="2" s="1"/>
  <c r="K72" i="2"/>
  <c r="J72" i="2"/>
  <c r="I72" i="2"/>
  <c r="H72" i="2"/>
  <c r="G72" i="2"/>
  <c r="G77" i="2" s="1"/>
  <c r="Z71" i="2"/>
  <c r="Z72" i="2" s="1"/>
  <c r="Y71" i="2"/>
  <c r="V71" i="2"/>
  <c r="T71" i="2"/>
  <c r="R71" i="2"/>
  <c r="P71" i="2"/>
  <c r="P72" i="2" s="1"/>
  <c r="Y67" i="2"/>
  <c r="W67" i="2"/>
  <c r="U67" i="2"/>
  <c r="S67" i="2"/>
  <c r="M67" i="2"/>
  <c r="L67" i="2"/>
  <c r="H67" i="2"/>
  <c r="Y66" i="2"/>
  <c r="W66" i="2"/>
  <c r="U66" i="2"/>
  <c r="S66" i="2"/>
  <c r="Q66" i="2"/>
  <c r="O66" i="2"/>
  <c r="N66" i="2"/>
  <c r="M66" i="2"/>
  <c r="L66" i="2"/>
  <c r="K66" i="2"/>
  <c r="J66" i="2"/>
  <c r="I66" i="2"/>
  <c r="I67" i="2" s="1"/>
  <c r="H66" i="2"/>
  <c r="G66" i="2"/>
  <c r="Y65" i="2"/>
  <c r="Z65" i="2" s="1"/>
  <c r="Z66" i="2" s="1"/>
  <c r="R65" i="2"/>
  <c r="P65" i="2"/>
  <c r="T65" i="2" s="1"/>
  <c r="Z64" i="2"/>
  <c r="Z67" i="2" s="1"/>
  <c r="W64" i="2"/>
  <c r="U64" i="2"/>
  <c r="S64" i="2"/>
  <c r="Q64" i="2"/>
  <c r="O64" i="2"/>
  <c r="O67" i="2" s="1"/>
  <c r="N64" i="2"/>
  <c r="N67" i="2" s="1"/>
  <c r="M64" i="2"/>
  <c r="L64" i="2"/>
  <c r="J64" i="2"/>
  <c r="J67" i="2" s="1"/>
  <c r="I64" i="2"/>
  <c r="H64" i="2"/>
  <c r="G64" i="2"/>
  <c r="G67" i="2" s="1"/>
  <c r="Z63" i="2"/>
  <c r="Y63" i="2"/>
  <c r="Y64" i="2" s="1"/>
  <c r="K63" i="2"/>
  <c r="T62" i="2"/>
  <c r="P62" i="2"/>
  <c r="V61" i="2"/>
  <c r="T61" i="2"/>
  <c r="R61" i="2"/>
  <c r="P61" i="2"/>
  <c r="X61" i="2" s="1"/>
  <c r="I57" i="2"/>
  <c r="W56" i="2"/>
  <c r="U56" i="2"/>
  <c r="S56" i="2"/>
  <c r="Q56" i="2"/>
  <c r="O56" i="2"/>
  <c r="N56" i="2"/>
  <c r="N31" i="2" s="1"/>
  <c r="N24" i="2" s="1"/>
  <c r="M56" i="2"/>
  <c r="L56" i="2"/>
  <c r="K56" i="2"/>
  <c r="J56" i="2"/>
  <c r="I56" i="2"/>
  <c r="I31" i="2" s="1"/>
  <c r="H56" i="2"/>
  <c r="G56" i="2"/>
  <c r="Z55" i="2"/>
  <c r="Z56" i="2" s="1"/>
  <c r="Y55" i="2"/>
  <c r="Y56" i="2" s="1"/>
  <c r="P55" i="2"/>
  <c r="W54" i="2"/>
  <c r="U54" i="2"/>
  <c r="S54" i="2"/>
  <c r="Q54" i="2"/>
  <c r="O54" i="2"/>
  <c r="N54" i="2"/>
  <c r="M54" i="2"/>
  <c r="L54" i="2"/>
  <c r="J54" i="2"/>
  <c r="I54" i="2"/>
  <c r="H54" i="2"/>
  <c r="G54" i="2"/>
  <c r="V53" i="2"/>
  <c r="T53" i="2"/>
  <c r="R53" i="2"/>
  <c r="P53" i="2"/>
  <c r="X53" i="2" s="1"/>
  <c r="Z52" i="2"/>
  <c r="Y52" i="2"/>
  <c r="X52" i="2"/>
  <c r="T52" i="2"/>
  <c r="P52" i="2"/>
  <c r="V52" i="2" s="1"/>
  <c r="K52" i="2"/>
  <c r="P51" i="2"/>
  <c r="K50" i="2"/>
  <c r="W49" i="2"/>
  <c r="U49" i="2"/>
  <c r="S49" i="2"/>
  <c r="Q49" i="2"/>
  <c r="O49" i="2"/>
  <c r="N49" i="2"/>
  <c r="M49" i="2"/>
  <c r="M57" i="2" s="1"/>
  <c r="L49" i="2"/>
  <c r="J49" i="2"/>
  <c r="I49" i="2"/>
  <c r="H49" i="2"/>
  <c r="G49" i="2"/>
  <c r="X48" i="2"/>
  <c r="V48" i="2"/>
  <c r="P48" i="2"/>
  <c r="T48" i="2" s="1"/>
  <c r="V47" i="2"/>
  <c r="P47" i="2"/>
  <c r="K47" i="2"/>
  <c r="K49" i="2" s="1"/>
  <c r="H43" i="2"/>
  <c r="G43" i="2"/>
  <c r="W42" i="2"/>
  <c r="U42" i="2"/>
  <c r="S42" i="2"/>
  <c r="Q42" i="2"/>
  <c r="O42" i="2"/>
  <c r="N42" i="2"/>
  <c r="M42" i="2"/>
  <c r="L42" i="2"/>
  <c r="K42" i="2"/>
  <c r="J42" i="2"/>
  <c r="J31" i="2" s="1"/>
  <c r="J24" i="2" s="1"/>
  <c r="I42" i="2"/>
  <c r="H42" i="2"/>
  <c r="G42" i="2"/>
  <c r="Z41" i="2"/>
  <c r="Z42" i="2" s="1"/>
  <c r="Y41" i="2"/>
  <c r="Y42" i="2" s="1"/>
  <c r="X41" i="2"/>
  <c r="T41" i="2"/>
  <c r="P41" i="2"/>
  <c r="R41" i="2" s="1"/>
  <c r="Y40" i="2"/>
  <c r="W40" i="2"/>
  <c r="U40" i="2"/>
  <c r="S40" i="2"/>
  <c r="Q40" i="2"/>
  <c r="Q43" i="2" s="1"/>
  <c r="O40" i="2"/>
  <c r="N40" i="2"/>
  <c r="M40" i="2"/>
  <c r="M43" i="2" s="1"/>
  <c r="L40" i="2"/>
  <c r="K40" i="2"/>
  <c r="J40" i="2"/>
  <c r="I40" i="2"/>
  <c r="H40" i="2"/>
  <c r="G40" i="2"/>
  <c r="V39" i="2"/>
  <c r="P39" i="2"/>
  <c r="Z38" i="2"/>
  <c r="Z40" i="2" s="1"/>
  <c r="Z43" i="2" s="1"/>
  <c r="Y38" i="2"/>
  <c r="P38" i="2"/>
  <c r="K38" i="2"/>
  <c r="X37" i="2"/>
  <c r="R37" i="2"/>
  <c r="P37" i="2"/>
  <c r="V37" i="2" s="1"/>
  <c r="V36" i="2"/>
  <c r="T36" i="2"/>
  <c r="R36" i="2"/>
  <c r="P36" i="2"/>
  <c r="X36" i="2" s="1"/>
  <c r="Q31" i="2"/>
  <c r="M31" i="2"/>
  <c r="H31" i="2"/>
  <c r="U30" i="2"/>
  <c r="N30" i="2"/>
  <c r="M30" i="2"/>
  <c r="M23" i="2" s="1"/>
  <c r="J30" i="2"/>
  <c r="L29" i="2"/>
  <c r="I29" i="2"/>
  <c r="H29" i="2"/>
  <c r="H22" i="2" s="1"/>
  <c r="Q24" i="2"/>
  <c r="M24" i="2"/>
  <c r="I24" i="2"/>
  <c r="I6" i="2" s="1"/>
  <c r="I17" i="2" s="1"/>
  <c r="H24" i="2"/>
  <c r="U23" i="2"/>
  <c r="N23" i="2"/>
  <c r="J23" i="2"/>
  <c r="I16" i="2"/>
  <c r="M13" i="2"/>
  <c r="L13" i="2"/>
  <c r="Y12" i="2"/>
  <c r="Y13" i="2" s="1"/>
  <c r="W12" i="2"/>
  <c r="W13" i="2" s="1"/>
  <c r="U12" i="2"/>
  <c r="U13" i="2" s="1"/>
  <c r="S12" i="2"/>
  <c r="S13" i="2" s="1"/>
  <c r="Q12" i="2"/>
  <c r="O12" i="2"/>
  <c r="O13" i="2" s="1"/>
  <c r="N12" i="2"/>
  <c r="N13" i="2" s="1"/>
  <c r="M12" i="2"/>
  <c r="L12" i="2"/>
  <c r="K12" i="2"/>
  <c r="K13" i="2" s="1"/>
  <c r="I12" i="2"/>
  <c r="I13" i="2" s="1"/>
  <c r="G12" i="2"/>
  <c r="G13" i="2" s="1"/>
  <c r="U11" i="2"/>
  <c r="Z10" i="2"/>
  <c r="Y10" i="2"/>
  <c r="W10" i="2"/>
  <c r="U10" i="2"/>
  <c r="V10" i="2" s="1"/>
  <c r="T10" i="2"/>
  <c r="S10" i="2"/>
  <c r="Q10" i="2"/>
  <c r="R10" i="2" s="1"/>
  <c r="P10" i="2"/>
  <c r="X10" i="2" s="1"/>
  <c r="O10" i="2"/>
  <c r="N10" i="2"/>
  <c r="M10" i="2"/>
  <c r="M16" i="2" s="1"/>
  <c r="L10" i="2"/>
  <c r="K10" i="2"/>
  <c r="J10" i="2"/>
  <c r="I10" i="2"/>
  <c r="H10" i="2"/>
  <c r="G10" i="2"/>
  <c r="U9" i="2"/>
  <c r="M9" i="2"/>
  <c r="M11" i="2" s="1"/>
  <c r="Z8" i="2"/>
  <c r="U8" i="2"/>
  <c r="S8" i="2"/>
  <c r="Q8" i="2"/>
  <c r="O8" i="2"/>
  <c r="M8" i="2"/>
  <c r="L8" i="2"/>
  <c r="J8" i="2"/>
  <c r="I8" i="2"/>
  <c r="H8" i="2"/>
  <c r="G8" i="2"/>
  <c r="M6" i="2"/>
  <c r="M17" i="2" s="1"/>
  <c r="H6" i="2"/>
  <c r="H17" i="2" s="1"/>
  <c r="Y5" i="2"/>
  <c r="Y16" i="2" s="1"/>
  <c r="W5" i="2"/>
  <c r="W16" i="2" s="1"/>
  <c r="U5" i="2"/>
  <c r="U16" i="2" s="1"/>
  <c r="O5" i="2"/>
  <c r="O16" i="2" s="1"/>
  <c r="N5" i="2"/>
  <c r="M5" i="2"/>
  <c r="L5" i="2"/>
  <c r="L16" i="2" s="1"/>
  <c r="K5" i="2"/>
  <c r="K16" i="2" s="1"/>
  <c r="J5" i="2"/>
  <c r="I5" i="2"/>
  <c r="H5" i="2"/>
  <c r="G5" i="2"/>
  <c r="G16" i="2" s="1"/>
  <c r="M143" i="1"/>
  <c r="D143" i="1"/>
  <c r="E143" i="1" s="1"/>
  <c r="F143" i="1" s="1"/>
  <c r="G143" i="1" s="1"/>
  <c r="H136" i="1" s="1"/>
  <c r="O137" i="1"/>
  <c r="M137" i="1"/>
  <c r="Q137" i="1" s="1"/>
  <c r="I135" i="1"/>
  <c r="M134" i="1"/>
  <c r="U133" i="1"/>
  <c r="S133" i="1"/>
  <c r="Q133" i="1"/>
  <c r="O133" i="1"/>
  <c r="M133" i="1"/>
  <c r="Q132" i="1"/>
  <c r="M132" i="1"/>
  <c r="S132" i="1" s="1"/>
  <c r="G132" i="1"/>
  <c r="G126" i="1" s="1"/>
  <c r="R130" i="1"/>
  <c r="L130" i="1"/>
  <c r="W129" i="1"/>
  <c r="W15" i="1" s="1"/>
  <c r="V129" i="1"/>
  <c r="T129" i="1"/>
  <c r="R129" i="1"/>
  <c r="P129" i="1"/>
  <c r="N129" i="1"/>
  <c r="L129" i="1"/>
  <c r="K129" i="1"/>
  <c r="J129" i="1"/>
  <c r="H129" i="1"/>
  <c r="G129" i="1"/>
  <c r="F129" i="1"/>
  <c r="E129" i="1"/>
  <c r="D129" i="1"/>
  <c r="D15" i="1" s="1"/>
  <c r="W128" i="1"/>
  <c r="V128" i="1"/>
  <c r="T128" i="1"/>
  <c r="U128" i="1" s="1"/>
  <c r="S128" i="1"/>
  <c r="R128" i="1"/>
  <c r="P128" i="1"/>
  <c r="Q128" i="1" s="1"/>
  <c r="N128" i="1"/>
  <c r="M128" i="1"/>
  <c r="O128" i="1" s="1"/>
  <c r="L128" i="1"/>
  <c r="K128" i="1"/>
  <c r="J128" i="1"/>
  <c r="I128" i="1"/>
  <c r="H128" i="1"/>
  <c r="G128" i="1"/>
  <c r="F128" i="1"/>
  <c r="E128" i="1"/>
  <c r="D128" i="1"/>
  <c r="W127" i="1"/>
  <c r="W130" i="1" s="1"/>
  <c r="V127" i="1"/>
  <c r="T127" i="1"/>
  <c r="R127" i="1"/>
  <c r="P127" i="1"/>
  <c r="N127" i="1"/>
  <c r="L127" i="1"/>
  <c r="K127" i="1"/>
  <c r="J127" i="1"/>
  <c r="I127" i="1"/>
  <c r="G127" i="1"/>
  <c r="F127" i="1"/>
  <c r="E127" i="1"/>
  <c r="D127" i="1"/>
  <c r="W126" i="1"/>
  <c r="V126" i="1"/>
  <c r="V130" i="1" s="1"/>
  <c r="T126" i="1"/>
  <c r="S126" i="1"/>
  <c r="R126" i="1"/>
  <c r="P126" i="1"/>
  <c r="N126" i="1"/>
  <c r="N130" i="1" s="1"/>
  <c r="M126" i="1"/>
  <c r="O126" i="1" s="1"/>
  <c r="L126" i="1"/>
  <c r="K126" i="1"/>
  <c r="J126" i="1"/>
  <c r="J130" i="1" s="1"/>
  <c r="I126" i="1"/>
  <c r="H126" i="1"/>
  <c r="F126" i="1"/>
  <c r="F130" i="1" s="1"/>
  <c r="E126" i="1"/>
  <c r="E130" i="1" s="1"/>
  <c r="D126" i="1"/>
  <c r="D130" i="1" s="1"/>
  <c r="W122" i="1"/>
  <c r="W77" i="1" s="1"/>
  <c r="V122" i="1"/>
  <c r="T122" i="1"/>
  <c r="R122" i="1"/>
  <c r="P122" i="1"/>
  <c r="N122" i="1"/>
  <c r="L122" i="1"/>
  <c r="K122" i="1"/>
  <c r="J122" i="1"/>
  <c r="I122" i="1"/>
  <c r="H122" i="1"/>
  <c r="H77" i="1" s="1"/>
  <c r="G122" i="1"/>
  <c r="G77" i="1" s="1"/>
  <c r="F122" i="1"/>
  <c r="E122" i="1"/>
  <c r="D122" i="1"/>
  <c r="W121" i="1"/>
  <c r="V121" i="1"/>
  <c r="U121" i="1"/>
  <c r="S121" i="1"/>
  <c r="Q121" i="1"/>
  <c r="M121" i="1"/>
  <c r="M122" i="1" s="1"/>
  <c r="T120" i="1"/>
  <c r="R120" i="1"/>
  <c r="Q120" i="1"/>
  <c r="P120" i="1"/>
  <c r="N120" i="1"/>
  <c r="L120" i="1"/>
  <c r="K120" i="1"/>
  <c r="J120" i="1"/>
  <c r="I120" i="1"/>
  <c r="I76" i="1" s="1"/>
  <c r="H120" i="1"/>
  <c r="G120" i="1"/>
  <c r="F120" i="1"/>
  <c r="E120" i="1"/>
  <c r="D120" i="1"/>
  <c r="V119" i="1"/>
  <c r="W119" i="1" s="1"/>
  <c r="U119" i="1"/>
  <c r="S119" i="1"/>
  <c r="Q119" i="1"/>
  <c r="O119" i="1"/>
  <c r="M119" i="1"/>
  <c r="V118" i="1"/>
  <c r="Y280" i="2" s="1"/>
  <c r="Y281" i="2" s="1"/>
  <c r="Y270" i="2" s="1"/>
  <c r="Y262" i="2" s="1"/>
  <c r="U118" i="1"/>
  <c r="S118" i="1"/>
  <c r="Q118" i="1"/>
  <c r="M118" i="1"/>
  <c r="M120" i="1" s="1"/>
  <c r="T117" i="1"/>
  <c r="R117" i="1"/>
  <c r="P117" i="1"/>
  <c r="N117" i="1"/>
  <c r="M117" i="1"/>
  <c r="M75" i="1" s="1"/>
  <c r="L117" i="1"/>
  <c r="K117" i="1"/>
  <c r="J117" i="1"/>
  <c r="J75" i="1" s="1"/>
  <c r="J78" i="1" s="1"/>
  <c r="I117" i="1"/>
  <c r="I75" i="1" s="1"/>
  <c r="I78" i="1" s="1"/>
  <c r="H117" i="1"/>
  <c r="G117" i="1"/>
  <c r="F117" i="1"/>
  <c r="E117" i="1"/>
  <c r="E75" i="1" s="1"/>
  <c r="E78" i="1" s="1"/>
  <c r="U116" i="1"/>
  <c r="S116" i="1"/>
  <c r="Q116" i="1"/>
  <c r="O116" i="1"/>
  <c r="M116" i="1"/>
  <c r="S115" i="1"/>
  <c r="M115" i="1"/>
  <c r="U115" i="1" s="1"/>
  <c r="U114" i="1"/>
  <c r="M114" i="1"/>
  <c r="M113" i="1"/>
  <c r="Q112" i="1"/>
  <c r="M112" i="1"/>
  <c r="S112" i="1" s="1"/>
  <c r="U111" i="1"/>
  <c r="S111" i="1"/>
  <c r="Q111" i="1"/>
  <c r="M111" i="1"/>
  <c r="O111" i="1" s="1"/>
  <c r="M110" i="1"/>
  <c r="U109" i="1"/>
  <c r="Q109" i="1"/>
  <c r="O109" i="1"/>
  <c r="M109" i="1"/>
  <c r="S109" i="1" s="1"/>
  <c r="U108" i="1"/>
  <c r="S108" i="1"/>
  <c r="Q108" i="1"/>
  <c r="O108" i="1"/>
  <c r="M108" i="1"/>
  <c r="S107" i="1"/>
  <c r="M107" i="1"/>
  <c r="U107" i="1" s="1"/>
  <c r="U106" i="1"/>
  <c r="M106" i="1"/>
  <c r="M105" i="1"/>
  <c r="V104" i="1"/>
  <c r="W104" i="1" s="1"/>
  <c r="M104" i="1"/>
  <c r="U104" i="1" s="1"/>
  <c r="W103" i="1"/>
  <c r="V103" i="1"/>
  <c r="S103" i="1"/>
  <c r="M103" i="1"/>
  <c r="U103" i="1" s="1"/>
  <c r="V102" i="1"/>
  <c r="W102" i="1" s="1"/>
  <c r="Q102" i="1"/>
  <c r="M102" i="1"/>
  <c r="S102" i="1" s="1"/>
  <c r="V101" i="1"/>
  <c r="U101" i="1"/>
  <c r="Q101" i="1"/>
  <c r="O101" i="1"/>
  <c r="M101" i="1"/>
  <c r="S101" i="1" s="1"/>
  <c r="V100" i="1"/>
  <c r="W100" i="1" s="1"/>
  <c r="M100" i="1"/>
  <c r="V99" i="1"/>
  <c r="U99" i="1"/>
  <c r="S99" i="1"/>
  <c r="Q99" i="1"/>
  <c r="M99" i="1"/>
  <c r="O99" i="1" s="1"/>
  <c r="W98" i="1"/>
  <c r="Z275" i="2" s="1"/>
  <c r="Z276" i="2" s="1"/>
  <c r="V98" i="1"/>
  <c r="Y275" i="2" s="1"/>
  <c r="Y276" i="2" s="1"/>
  <c r="U98" i="1"/>
  <c r="S98" i="1"/>
  <c r="Q98" i="1"/>
  <c r="O98" i="1"/>
  <c r="M98" i="1"/>
  <c r="W97" i="1"/>
  <c r="M97" i="1"/>
  <c r="U97" i="1" s="1"/>
  <c r="W96" i="1"/>
  <c r="Q96" i="1"/>
  <c r="M96" i="1"/>
  <c r="S96" i="1" s="1"/>
  <c r="W95" i="1"/>
  <c r="M95" i="1"/>
  <c r="W94" i="1"/>
  <c r="U94" i="1"/>
  <c r="S94" i="1"/>
  <c r="Q94" i="1"/>
  <c r="O94" i="1"/>
  <c r="M94" i="1"/>
  <c r="V93" i="1"/>
  <c r="W93" i="1" s="1"/>
  <c r="M93" i="1"/>
  <c r="V92" i="1"/>
  <c r="W92" i="1" s="1"/>
  <c r="M92" i="1"/>
  <c r="W91" i="1"/>
  <c r="V91" i="1"/>
  <c r="S91" i="1"/>
  <c r="M91" i="1"/>
  <c r="U91" i="1" s="1"/>
  <c r="D91" i="1"/>
  <c r="D117" i="1" s="1"/>
  <c r="D75" i="1" s="1"/>
  <c r="W90" i="1"/>
  <c r="V90" i="1"/>
  <c r="S90" i="1"/>
  <c r="M90" i="1"/>
  <c r="U90" i="1" s="1"/>
  <c r="V89" i="1"/>
  <c r="W89" i="1" s="1"/>
  <c r="Q89" i="1"/>
  <c r="M89" i="1"/>
  <c r="S89" i="1" s="1"/>
  <c r="W88" i="1"/>
  <c r="V88" i="1"/>
  <c r="U88" i="1"/>
  <c r="H88" i="1"/>
  <c r="M88" i="1" s="1"/>
  <c r="V87" i="1"/>
  <c r="W87" i="1" s="1"/>
  <c r="U87" i="1"/>
  <c r="Q87" i="1"/>
  <c r="O87" i="1"/>
  <c r="M87" i="1"/>
  <c r="S87" i="1" s="1"/>
  <c r="U86" i="1"/>
  <c r="S86" i="1"/>
  <c r="Q86" i="1"/>
  <c r="O86" i="1"/>
  <c r="M86" i="1"/>
  <c r="S85" i="1"/>
  <c r="M85" i="1"/>
  <c r="U85" i="1" s="1"/>
  <c r="S84" i="1"/>
  <c r="M84" i="1"/>
  <c r="M83" i="1"/>
  <c r="V82" i="1"/>
  <c r="W82" i="1" s="1"/>
  <c r="M82" i="1"/>
  <c r="V77" i="1"/>
  <c r="T77" i="1"/>
  <c r="R77" i="1"/>
  <c r="N77" i="1"/>
  <c r="L77" i="1"/>
  <c r="K77" i="1"/>
  <c r="J77" i="1"/>
  <c r="I77" i="1"/>
  <c r="F77" i="1"/>
  <c r="E77" i="1"/>
  <c r="D77" i="1"/>
  <c r="T76" i="1"/>
  <c r="U76" i="1" s="1"/>
  <c r="P76" i="1"/>
  <c r="Q76" i="1" s="1"/>
  <c r="M76" i="1"/>
  <c r="L76" i="1"/>
  <c r="K76" i="1"/>
  <c r="J76" i="1"/>
  <c r="H76" i="1"/>
  <c r="H5" i="1" s="1"/>
  <c r="H19" i="1" s="1"/>
  <c r="G76" i="1"/>
  <c r="G5" i="1" s="1"/>
  <c r="G19" i="1" s="1"/>
  <c r="F76" i="1"/>
  <c r="E76" i="1"/>
  <c r="D76" i="1"/>
  <c r="T75" i="1"/>
  <c r="P75" i="1"/>
  <c r="N75" i="1"/>
  <c r="L75" i="1"/>
  <c r="L3" i="1" s="1"/>
  <c r="K75" i="1"/>
  <c r="H75" i="1"/>
  <c r="G75" i="1"/>
  <c r="F75" i="1"/>
  <c r="F78" i="1" s="1"/>
  <c r="W71" i="1"/>
  <c r="V71" i="1"/>
  <c r="S71" i="1"/>
  <c r="M71" i="1"/>
  <c r="U71" i="1" s="1"/>
  <c r="W70" i="1"/>
  <c r="U70" i="1"/>
  <c r="Q70" i="1"/>
  <c r="O70" i="1"/>
  <c r="M70" i="1"/>
  <c r="S70" i="1" s="1"/>
  <c r="U69" i="1"/>
  <c r="S69" i="1"/>
  <c r="Q69" i="1"/>
  <c r="O69" i="1"/>
  <c r="M69" i="1"/>
  <c r="V68" i="1"/>
  <c r="W68" i="1" s="1"/>
  <c r="M68" i="1"/>
  <c r="V67" i="1"/>
  <c r="W67" i="1" s="1"/>
  <c r="U67" i="1"/>
  <c r="M67" i="1"/>
  <c r="W66" i="1"/>
  <c r="V66" i="1"/>
  <c r="S66" i="1"/>
  <c r="M66" i="1"/>
  <c r="U66" i="1" s="1"/>
  <c r="V65" i="1"/>
  <c r="W65" i="1" s="1"/>
  <c r="Q65" i="1"/>
  <c r="M65" i="1"/>
  <c r="S65" i="1" s="1"/>
  <c r="V64" i="1"/>
  <c r="W64" i="1" s="1"/>
  <c r="U64" i="1"/>
  <c r="Q64" i="1"/>
  <c r="O64" i="1"/>
  <c r="M64" i="1"/>
  <c r="S64" i="1" s="1"/>
  <c r="V63" i="1"/>
  <c r="W63" i="1" s="1"/>
  <c r="U63" i="1"/>
  <c r="M63" i="1"/>
  <c r="V62" i="1"/>
  <c r="W62" i="1" s="1"/>
  <c r="U62" i="1"/>
  <c r="S62" i="1"/>
  <c r="Q62" i="1"/>
  <c r="M62" i="1"/>
  <c r="O62" i="1" s="1"/>
  <c r="T60" i="1"/>
  <c r="T44" i="1" s="1"/>
  <c r="R60" i="1"/>
  <c r="R44" i="1" s="1"/>
  <c r="P60" i="1"/>
  <c r="N60" i="1"/>
  <c r="L60" i="1"/>
  <c r="L44" i="1" s="1"/>
  <c r="L6" i="1" s="1"/>
  <c r="L20" i="1" s="1"/>
  <c r="K60" i="1"/>
  <c r="K44" i="1" s="1"/>
  <c r="K6" i="1" s="1"/>
  <c r="K20" i="1" s="1"/>
  <c r="J60" i="1"/>
  <c r="J44" i="1" s="1"/>
  <c r="I60" i="1"/>
  <c r="H60" i="1"/>
  <c r="G60" i="1"/>
  <c r="G44" i="1" s="1"/>
  <c r="F60" i="1"/>
  <c r="E60" i="1"/>
  <c r="D60" i="1"/>
  <c r="D44" i="1" s="1"/>
  <c r="D6" i="1" s="1"/>
  <c r="D20" i="1" s="1"/>
  <c r="W59" i="1"/>
  <c r="U59" i="1"/>
  <c r="Q59" i="1"/>
  <c r="O59" i="1"/>
  <c r="M59" i="1"/>
  <c r="S59" i="1" s="1"/>
  <c r="V58" i="1"/>
  <c r="V60" i="1" s="1"/>
  <c r="V44" i="1" s="1"/>
  <c r="V6" i="1" s="1"/>
  <c r="V20" i="1" s="1"/>
  <c r="M58" i="1"/>
  <c r="T57" i="1"/>
  <c r="R57" i="1"/>
  <c r="P57" i="1"/>
  <c r="N57" i="1"/>
  <c r="L57" i="1"/>
  <c r="L43" i="1" s="1"/>
  <c r="L45" i="1" s="1"/>
  <c r="K57" i="1"/>
  <c r="K43" i="1" s="1"/>
  <c r="K4" i="1" s="1"/>
  <c r="K18" i="1" s="1"/>
  <c r="J57" i="1"/>
  <c r="I57" i="1"/>
  <c r="H57" i="1"/>
  <c r="H43" i="1" s="1"/>
  <c r="H4" i="1" s="1"/>
  <c r="G57" i="1"/>
  <c r="F57" i="1"/>
  <c r="E57" i="1"/>
  <c r="D57" i="1"/>
  <c r="D43" i="1" s="1"/>
  <c r="W56" i="1"/>
  <c r="V56" i="1"/>
  <c r="S56" i="1"/>
  <c r="M56" i="1"/>
  <c r="U56" i="1" s="1"/>
  <c r="V55" i="1"/>
  <c r="W55" i="1" s="1"/>
  <c r="Q55" i="1"/>
  <c r="M55" i="1"/>
  <c r="S55" i="1" s="1"/>
  <c r="V54" i="1"/>
  <c r="W54" i="1" s="1"/>
  <c r="W9" i="1" s="1"/>
  <c r="U54" i="1"/>
  <c r="Q54" i="1"/>
  <c r="O54" i="1"/>
  <c r="M54" i="1"/>
  <c r="S54" i="1" s="1"/>
  <c r="V53" i="1"/>
  <c r="W53" i="1" s="1"/>
  <c r="M53" i="1"/>
  <c r="V52" i="1"/>
  <c r="W52" i="1" s="1"/>
  <c r="U52" i="1"/>
  <c r="S52" i="1"/>
  <c r="Q52" i="1"/>
  <c r="M52" i="1"/>
  <c r="O52" i="1" s="1"/>
  <c r="T51" i="1"/>
  <c r="T42" i="1" s="1"/>
  <c r="T3" i="1" s="1"/>
  <c r="R51" i="1"/>
  <c r="R42" i="1" s="1"/>
  <c r="P51" i="1"/>
  <c r="N51" i="1"/>
  <c r="L51" i="1"/>
  <c r="L42" i="1" s="1"/>
  <c r="K51" i="1"/>
  <c r="K42" i="1" s="1"/>
  <c r="J51" i="1"/>
  <c r="J42" i="1" s="1"/>
  <c r="J45" i="1" s="1"/>
  <c r="I51" i="1"/>
  <c r="H51" i="1"/>
  <c r="G51" i="1"/>
  <c r="G42" i="1" s="1"/>
  <c r="F51" i="1"/>
  <c r="E51" i="1"/>
  <c r="D51" i="1"/>
  <c r="D42" i="1" s="1"/>
  <c r="V50" i="1"/>
  <c r="W50" i="1" s="1"/>
  <c r="Q50" i="1"/>
  <c r="M50" i="1"/>
  <c r="S50" i="1" s="1"/>
  <c r="V49" i="1"/>
  <c r="U49" i="1"/>
  <c r="Q49" i="1"/>
  <c r="O49" i="1"/>
  <c r="M49" i="1"/>
  <c r="S49" i="1" s="1"/>
  <c r="P44" i="1"/>
  <c r="N44" i="1"/>
  <c r="I44" i="1"/>
  <c r="H44" i="1"/>
  <c r="F44" i="1"/>
  <c r="E44" i="1"/>
  <c r="E6" i="1" s="1"/>
  <c r="E20" i="1" s="1"/>
  <c r="T43" i="1"/>
  <c r="R43" i="1"/>
  <c r="N43" i="1"/>
  <c r="J43" i="1"/>
  <c r="I43" i="1"/>
  <c r="G43" i="1"/>
  <c r="F43" i="1"/>
  <c r="F45" i="1" s="1"/>
  <c r="E43" i="1"/>
  <c r="E4" i="1" s="1"/>
  <c r="E18" i="1" s="1"/>
  <c r="P42" i="1"/>
  <c r="N42" i="1"/>
  <c r="I42" i="1"/>
  <c r="I45" i="1" s="1"/>
  <c r="H42" i="1"/>
  <c r="H45" i="1" s="1"/>
  <c r="F42" i="1"/>
  <c r="E42" i="1"/>
  <c r="E45" i="1" s="1"/>
  <c r="T38" i="1"/>
  <c r="T25" i="1" s="1"/>
  <c r="R38" i="1"/>
  <c r="P38" i="1"/>
  <c r="N38" i="1"/>
  <c r="N25" i="1" s="1"/>
  <c r="N4" i="1" s="1"/>
  <c r="L38" i="1"/>
  <c r="K38" i="1"/>
  <c r="J38" i="1"/>
  <c r="I38" i="1"/>
  <c r="I25" i="1" s="1"/>
  <c r="I26" i="1" s="1"/>
  <c r="H38" i="1"/>
  <c r="G38" i="1"/>
  <c r="F38" i="1"/>
  <c r="F25" i="1" s="1"/>
  <c r="F26" i="1" s="1"/>
  <c r="E38" i="1"/>
  <c r="E25" i="1" s="1"/>
  <c r="E26" i="1" s="1"/>
  <c r="D38" i="1"/>
  <c r="V37" i="1"/>
  <c r="W37" i="1" s="1"/>
  <c r="M37" i="1"/>
  <c r="U37" i="1" s="1"/>
  <c r="W36" i="1"/>
  <c r="V36" i="1"/>
  <c r="S36" i="1"/>
  <c r="M36" i="1"/>
  <c r="V35" i="1"/>
  <c r="W35" i="1" s="1"/>
  <c r="Q35" i="1"/>
  <c r="M35" i="1"/>
  <c r="S35" i="1" s="1"/>
  <c r="W34" i="1"/>
  <c r="V34" i="1"/>
  <c r="U34" i="1"/>
  <c r="Q34" i="1"/>
  <c r="O34" i="1"/>
  <c r="M34" i="1"/>
  <c r="S34" i="1" s="1"/>
  <c r="V33" i="1"/>
  <c r="U33" i="1"/>
  <c r="S33" i="1"/>
  <c r="M33" i="1"/>
  <c r="V32" i="1"/>
  <c r="W32" i="1" s="1"/>
  <c r="U32" i="1"/>
  <c r="S32" i="1"/>
  <c r="Q32" i="1"/>
  <c r="M32" i="1"/>
  <c r="O32" i="1" s="1"/>
  <c r="W31" i="1"/>
  <c r="V31" i="1"/>
  <c r="U31" i="1"/>
  <c r="S31" i="1"/>
  <c r="Q31" i="1"/>
  <c r="O31" i="1"/>
  <c r="M31" i="1"/>
  <c r="M30" i="1"/>
  <c r="P26" i="1"/>
  <c r="K26" i="1"/>
  <c r="H26" i="1"/>
  <c r="G26" i="1"/>
  <c r="R25" i="1"/>
  <c r="R26" i="1" s="1"/>
  <c r="P25" i="1"/>
  <c r="L25" i="1"/>
  <c r="L26" i="1" s="1"/>
  <c r="K25" i="1"/>
  <c r="J25" i="1"/>
  <c r="J26" i="1" s="1"/>
  <c r="H25" i="1"/>
  <c r="G25" i="1"/>
  <c r="D25" i="1"/>
  <c r="D26" i="1" s="1"/>
  <c r="G20" i="1"/>
  <c r="K19" i="1"/>
  <c r="V15" i="1"/>
  <c r="T15" i="1"/>
  <c r="R15" i="1"/>
  <c r="P15" i="1"/>
  <c r="N15" i="1"/>
  <c r="L15" i="1"/>
  <c r="K15" i="1"/>
  <c r="J15" i="1"/>
  <c r="H15" i="1"/>
  <c r="G15" i="1"/>
  <c r="F15" i="1"/>
  <c r="E15" i="1"/>
  <c r="W14" i="1"/>
  <c r="V14" i="1"/>
  <c r="T14" i="1"/>
  <c r="U14" i="1" s="1"/>
  <c r="R14" i="1"/>
  <c r="S14" i="1" s="1"/>
  <c r="O14" i="1"/>
  <c r="N14" i="1"/>
  <c r="M14" i="1"/>
  <c r="L14" i="1"/>
  <c r="K14" i="1"/>
  <c r="J14" i="1"/>
  <c r="J16" i="1" s="1"/>
  <c r="I14" i="1"/>
  <c r="H14" i="1"/>
  <c r="G14" i="1"/>
  <c r="F14" i="1"/>
  <c r="E14" i="1"/>
  <c r="D14" i="1"/>
  <c r="W13" i="1"/>
  <c r="V13" i="1"/>
  <c r="T13" i="1"/>
  <c r="R13" i="1"/>
  <c r="P13" i="1"/>
  <c r="N13" i="1"/>
  <c r="L13" i="1"/>
  <c r="K13" i="1"/>
  <c r="K16" i="1" s="1"/>
  <c r="J13" i="1"/>
  <c r="I13" i="1"/>
  <c r="G13" i="1"/>
  <c r="F13" i="1"/>
  <c r="E13" i="1"/>
  <c r="D13" i="1"/>
  <c r="W12" i="1"/>
  <c r="W16" i="1" s="1"/>
  <c r="V12" i="1"/>
  <c r="U12" i="1"/>
  <c r="T12" i="1"/>
  <c r="R12" i="1"/>
  <c r="R16" i="1" s="1"/>
  <c r="O12" i="1"/>
  <c r="N12" i="1"/>
  <c r="N16" i="1" s="1"/>
  <c r="M12" i="1"/>
  <c r="L12" i="1"/>
  <c r="L16" i="1" s="1"/>
  <c r="K12" i="1"/>
  <c r="J12" i="1"/>
  <c r="I12" i="1"/>
  <c r="H12" i="1"/>
  <c r="G12" i="1"/>
  <c r="G16" i="1" s="1"/>
  <c r="F12" i="1"/>
  <c r="F16" i="1" s="1"/>
  <c r="E12" i="1"/>
  <c r="D12" i="1"/>
  <c r="D16" i="1" s="1"/>
  <c r="P11" i="1"/>
  <c r="H11" i="1"/>
  <c r="G11" i="1"/>
  <c r="T10" i="1"/>
  <c r="U10" i="1" s="1"/>
  <c r="R10" i="1"/>
  <c r="S10" i="1" s="1"/>
  <c r="Q10" i="1"/>
  <c r="P10" i="1"/>
  <c r="O10" i="1"/>
  <c r="N10" i="1"/>
  <c r="M10" i="1"/>
  <c r="L10" i="1"/>
  <c r="L5" i="1" s="1"/>
  <c r="L19" i="1" s="1"/>
  <c r="K10" i="1"/>
  <c r="J10" i="1"/>
  <c r="J5" i="1" s="1"/>
  <c r="J19" i="1" s="1"/>
  <c r="I10" i="1"/>
  <c r="I5" i="1" s="1"/>
  <c r="I19" i="1" s="1"/>
  <c r="H10" i="1"/>
  <c r="G10" i="1"/>
  <c r="F10" i="1"/>
  <c r="E10" i="1"/>
  <c r="D10" i="1"/>
  <c r="V9" i="1"/>
  <c r="V11" i="1" s="1"/>
  <c r="T9" i="1"/>
  <c r="R9" i="1"/>
  <c r="P9" i="1"/>
  <c r="Q9" i="1" s="1"/>
  <c r="N9" i="1"/>
  <c r="N11" i="1" s="1"/>
  <c r="M9" i="1"/>
  <c r="S9" i="1" s="1"/>
  <c r="L9" i="1"/>
  <c r="K9" i="1"/>
  <c r="J9" i="1"/>
  <c r="I9" i="1"/>
  <c r="H9" i="1"/>
  <c r="G9" i="1"/>
  <c r="F9" i="1"/>
  <c r="F11" i="1" s="1"/>
  <c r="E9" i="1"/>
  <c r="E11" i="1" s="1"/>
  <c r="D9" i="1"/>
  <c r="W8" i="1"/>
  <c r="W11" i="1" s="1"/>
  <c r="V8" i="1"/>
  <c r="T8" i="1"/>
  <c r="U8" i="1" s="1"/>
  <c r="R8" i="1"/>
  <c r="R11" i="1" s="1"/>
  <c r="Q8" i="1"/>
  <c r="P8" i="1"/>
  <c r="O8" i="1"/>
  <c r="N8" i="1"/>
  <c r="M8" i="1"/>
  <c r="L8" i="1"/>
  <c r="L11" i="1" s="1"/>
  <c r="K8" i="1"/>
  <c r="K11" i="1" s="1"/>
  <c r="J8" i="1"/>
  <c r="J11" i="1" s="1"/>
  <c r="I8" i="1"/>
  <c r="I3" i="1" s="1"/>
  <c r="H8" i="1"/>
  <c r="G8" i="1"/>
  <c r="G3" i="1" s="1"/>
  <c r="F8" i="1"/>
  <c r="E8" i="1"/>
  <c r="D8" i="1"/>
  <c r="D11" i="1" s="1"/>
  <c r="T6" i="1"/>
  <c r="T20" i="1" s="1"/>
  <c r="R6" i="1"/>
  <c r="R20" i="1" s="1"/>
  <c r="N6" i="1"/>
  <c r="J6" i="1"/>
  <c r="J20" i="1" s="1"/>
  <c r="I6" i="1"/>
  <c r="G6" i="1"/>
  <c r="F6" i="1"/>
  <c r="P5" i="1"/>
  <c r="Q5" i="1" s="1"/>
  <c r="M5" i="1"/>
  <c r="M19" i="1" s="1"/>
  <c r="K5" i="1"/>
  <c r="F5" i="1"/>
  <c r="F19" i="1" s="1"/>
  <c r="E5" i="1"/>
  <c r="E19" i="1" s="1"/>
  <c r="D5" i="1"/>
  <c r="D19" i="1" s="1"/>
  <c r="R4" i="1"/>
  <c r="R18" i="1" s="1"/>
  <c r="J4" i="1"/>
  <c r="J18" i="1" s="1"/>
  <c r="I4" i="1"/>
  <c r="I18" i="1" s="1"/>
  <c r="G4" i="1"/>
  <c r="G18" i="1" s="1"/>
  <c r="N3" i="1"/>
  <c r="K3" i="1"/>
  <c r="F3" i="1"/>
  <c r="F17" i="1" s="1"/>
  <c r="E3" i="1"/>
  <c r="E17" i="1" s="1"/>
  <c r="M136" i="1" l="1"/>
  <c r="H127" i="1"/>
  <c r="H13" i="1" s="1"/>
  <c r="H16" i="1" s="1"/>
  <c r="H78" i="1"/>
  <c r="D3" i="1"/>
  <c r="D78" i="1"/>
  <c r="T17" i="1"/>
  <c r="G7" i="1"/>
  <c r="G17" i="1"/>
  <c r="G21" i="1" s="1"/>
  <c r="T26" i="1"/>
  <c r="T4" i="1"/>
  <c r="H18" i="1"/>
  <c r="K7" i="1"/>
  <c r="I17" i="1"/>
  <c r="I7" i="1"/>
  <c r="P6" i="1"/>
  <c r="H6" i="1"/>
  <c r="H20" i="1" s="1"/>
  <c r="L17" i="1"/>
  <c r="N18" i="1"/>
  <c r="D45" i="1"/>
  <c r="D4" i="1"/>
  <c r="D18" i="1" s="1"/>
  <c r="E21" i="1"/>
  <c r="U9" i="1"/>
  <c r="W57" i="1"/>
  <c r="W43" i="1" s="1"/>
  <c r="O58" i="1"/>
  <c r="M60" i="1"/>
  <c r="Q58" i="1"/>
  <c r="O100" i="1"/>
  <c r="Q100" i="1"/>
  <c r="O53" i="1"/>
  <c r="M57" i="1"/>
  <c r="Q53" i="1"/>
  <c r="S58" i="1"/>
  <c r="O75" i="1"/>
  <c r="G78" i="1"/>
  <c r="U93" i="1"/>
  <c r="S93" i="1"/>
  <c r="Q93" i="1"/>
  <c r="S122" i="1"/>
  <c r="M77" i="1"/>
  <c r="S77" i="1" s="1"/>
  <c r="O122" i="1"/>
  <c r="W30" i="2"/>
  <c r="W43" i="2"/>
  <c r="R45" i="1"/>
  <c r="W33" i="1"/>
  <c r="W38" i="1" s="1"/>
  <c r="W25" i="1" s="1"/>
  <c r="V38" i="1"/>
  <c r="V25" i="1" s="1"/>
  <c r="U58" i="1"/>
  <c r="U68" i="1"/>
  <c r="S68" i="1"/>
  <c r="Q68" i="1"/>
  <c r="Q75" i="1"/>
  <c r="O77" i="1"/>
  <c r="O93" i="1"/>
  <c r="O95" i="1"/>
  <c r="Q95" i="1"/>
  <c r="U100" i="1"/>
  <c r="Q122" i="1"/>
  <c r="H130" i="1"/>
  <c r="Q127" i="1"/>
  <c r="T88" i="2"/>
  <c r="R88" i="2"/>
  <c r="X88" i="2"/>
  <c r="V88" i="2"/>
  <c r="M78" i="1"/>
  <c r="S100" i="1"/>
  <c r="N26" i="1"/>
  <c r="K45" i="1"/>
  <c r="U53" i="1"/>
  <c r="O57" i="1"/>
  <c r="O68" i="1"/>
  <c r="P77" i="1"/>
  <c r="Q77" i="1" s="1"/>
  <c r="L78" i="1"/>
  <c r="U83" i="1"/>
  <c r="S83" i="1"/>
  <c r="Q83" i="1"/>
  <c r="S95" i="1"/>
  <c r="Q117" i="1"/>
  <c r="O120" i="1"/>
  <c r="N76" i="1"/>
  <c r="I22" i="2"/>
  <c r="J57" i="2"/>
  <c r="J29" i="2"/>
  <c r="E7" i="1"/>
  <c r="S82" i="1"/>
  <c r="Q82" i="1"/>
  <c r="O82" i="1"/>
  <c r="Y47" i="2"/>
  <c r="W101" i="1"/>
  <c r="Z47" i="2" s="1"/>
  <c r="M135" i="1"/>
  <c r="I129" i="1"/>
  <c r="U30" i="1"/>
  <c r="Q30" i="1"/>
  <c r="O30" i="1"/>
  <c r="U82" i="1"/>
  <c r="S97" i="1"/>
  <c r="Q97" i="1"/>
  <c r="O97" i="1"/>
  <c r="Q126" i="1"/>
  <c r="P130" i="1"/>
  <c r="I11" i="1"/>
  <c r="P12" i="1"/>
  <c r="S53" i="1"/>
  <c r="T11" i="1"/>
  <c r="Q57" i="1"/>
  <c r="P43" i="1"/>
  <c r="Q60" i="1"/>
  <c r="U75" i="1"/>
  <c r="O83" i="1"/>
  <c r="Q88" i="1"/>
  <c r="S88" i="1"/>
  <c r="U95" i="1"/>
  <c r="U105" i="1"/>
  <c r="S105" i="1"/>
  <c r="Q105" i="1"/>
  <c r="S110" i="1"/>
  <c r="Q110" i="1"/>
  <c r="O110" i="1"/>
  <c r="U113" i="1"/>
  <c r="S113" i="1"/>
  <c r="Q113" i="1"/>
  <c r="S117" i="1"/>
  <c r="R75" i="1"/>
  <c r="U122" i="1"/>
  <c r="U126" i="1"/>
  <c r="T130" i="1"/>
  <c r="U31" i="2"/>
  <c r="U57" i="2"/>
  <c r="S37" i="1"/>
  <c r="Q37" i="1"/>
  <c r="O37" i="1"/>
  <c r="S8" i="1"/>
  <c r="O9" i="1"/>
  <c r="S30" i="1"/>
  <c r="H3" i="1"/>
  <c r="P3" i="1"/>
  <c r="L4" i="1"/>
  <c r="L18" i="1" s="1"/>
  <c r="M11" i="1"/>
  <c r="S11" i="1" s="1"/>
  <c r="S12" i="1"/>
  <c r="K17" i="1"/>
  <c r="K21" i="1" s="1"/>
  <c r="J3" i="1"/>
  <c r="F4" i="1"/>
  <c r="F18" i="1" s="1"/>
  <c r="F21" i="1" s="1"/>
  <c r="F20" i="1"/>
  <c r="N20" i="1"/>
  <c r="N17" i="1"/>
  <c r="U36" i="1"/>
  <c r="Q36" i="1"/>
  <c r="O36" i="1"/>
  <c r="M38" i="1"/>
  <c r="P78" i="1"/>
  <c r="O84" i="1"/>
  <c r="Q84" i="1"/>
  <c r="O88" i="1"/>
  <c r="O105" i="1"/>
  <c r="U110" i="1"/>
  <c r="O113" i="1"/>
  <c r="U117" i="1"/>
  <c r="K130" i="1"/>
  <c r="L43" i="2"/>
  <c r="L31" i="2"/>
  <c r="L24" i="2" s="1"/>
  <c r="L6" i="2" s="1"/>
  <c r="L17" i="2" s="1"/>
  <c r="L30" i="2"/>
  <c r="L23" i="2" s="1"/>
  <c r="L57" i="2"/>
  <c r="T45" i="1"/>
  <c r="O63" i="1"/>
  <c r="Q63" i="1"/>
  <c r="U77" i="1"/>
  <c r="T78" i="1"/>
  <c r="U78" i="1" s="1"/>
  <c r="S92" i="1"/>
  <c r="Q92" i="1"/>
  <c r="O92" i="1"/>
  <c r="O106" i="1"/>
  <c r="Q106" i="1"/>
  <c r="O114" i="1"/>
  <c r="Q114" i="1"/>
  <c r="V117" i="1"/>
  <c r="V75" i="1" s="1"/>
  <c r="R76" i="1"/>
  <c r="S120" i="1"/>
  <c r="G130" i="1"/>
  <c r="S134" i="1"/>
  <c r="O134" i="1"/>
  <c r="M127" i="1"/>
  <c r="Q134" i="1"/>
  <c r="N57" i="2"/>
  <c r="N29" i="2"/>
  <c r="R51" i="2"/>
  <c r="T51" i="2"/>
  <c r="X51" i="2"/>
  <c r="V51" i="2"/>
  <c r="Q77" i="2"/>
  <c r="R77" i="2" s="1"/>
  <c r="R72" i="2"/>
  <c r="V74" i="2"/>
  <c r="X74" i="2"/>
  <c r="R74" i="2"/>
  <c r="P76" i="2"/>
  <c r="X76" i="2" s="1"/>
  <c r="T74" i="2"/>
  <c r="S104" i="1"/>
  <c r="Q104" i="1"/>
  <c r="O104" i="1"/>
  <c r="T5" i="1"/>
  <c r="E16" i="1"/>
  <c r="V16" i="1"/>
  <c r="P14" i="1"/>
  <c r="Q14" i="1" s="1"/>
  <c r="T16" i="1"/>
  <c r="O33" i="1"/>
  <c r="Q33" i="1"/>
  <c r="V51" i="1"/>
  <c r="V42" i="1" s="1"/>
  <c r="W49" i="1"/>
  <c r="W51" i="1" s="1"/>
  <c r="W42" i="1" s="1"/>
  <c r="G45" i="1"/>
  <c r="U57" i="1"/>
  <c r="S63" i="1"/>
  <c r="S67" i="1"/>
  <c r="Q67" i="1"/>
  <c r="O67" i="1"/>
  <c r="K78" i="1"/>
  <c r="U84" i="1"/>
  <c r="U92" i="1"/>
  <c r="S106" i="1"/>
  <c r="S114" i="1"/>
  <c r="U134" i="1"/>
  <c r="N16" i="2"/>
  <c r="R103" i="2"/>
  <c r="V103" i="2"/>
  <c r="T103" i="2"/>
  <c r="X103" i="2"/>
  <c r="G179" i="2"/>
  <c r="G161" i="2"/>
  <c r="G164" i="2" s="1"/>
  <c r="O179" i="2"/>
  <c r="O161" i="2"/>
  <c r="O164" i="2" s="1"/>
  <c r="U35" i="1"/>
  <c r="U50" i="1"/>
  <c r="U55" i="1"/>
  <c r="U65" i="1"/>
  <c r="N78" i="1"/>
  <c r="O78" i="1" s="1"/>
  <c r="U89" i="1"/>
  <c r="U96" i="1"/>
  <c r="U102" i="1"/>
  <c r="U112" i="1"/>
  <c r="O118" i="1"/>
  <c r="O121" i="1"/>
  <c r="U132" i="1"/>
  <c r="U137" i="1"/>
  <c r="Q13" i="2"/>
  <c r="N43" i="2"/>
  <c r="P50" i="2"/>
  <c r="K54" i="2"/>
  <c r="K57" i="2" s="1"/>
  <c r="K163" i="2"/>
  <c r="K164" i="2" s="1"/>
  <c r="K179" i="2"/>
  <c r="S163" i="2"/>
  <c r="T163" i="2" s="1"/>
  <c r="T178" i="2"/>
  <c r="U98" i="2"/>
  <c r="V98" i="2" s="1"/>
  <c r="U29" i="2"/>
  <c r="P139" i="2"/>
  <c r="V138" i="2"/>
  <c r="X138" i="2"/>
  <c r="T138" i="2"/>
  <c r="R138" i="2"/>
  <c r="T140" i="2"/>
  <c r="X140" i="2"/>
  <c r="R140" i="2"/>
  <c r="P143" i="2"/>
  <c r="V140" i="2"/>
  <c r="I271" i="2"/>
  <c r="I260" i="2"/>
  <c r="N45" i="1"/>
  <c r="L32" i="2"/>
  <c r="L22" i="2"/>
  <c r="I43" i="2"/>
  <c r="I30" i="2"/>
  <c r="I23" i="2" s="1"/>
  <c r="Q29" i="2"/>
  <c r="Q57" i="2"/>
  <c r="V55" i="2"/>
  <c r="T55" i="2"/>
  <c r="R55" i="2"/>
  <c r="P56" i="2"/>
  <c r="V56" i="2" s="1"/>
  <c r="T77" i="2"/>
  <c r="X90" i="2"/>
  <c r="R95" i="2"/>
  <c r="V115" i="2"/>
  <c r="X115" i="2"/>
  <c r="R115" i="2"/>
  <c r="T115" i="2"/>
  <c r="N194" i="2"/>
  <c r="S235" i="2"/>
  <c r="O38" i="1"/>
  <c r="M51" i="1"/>
  <c r="U51" i="1" s="1"/>
  <c r="O56" i="1"/>
  <c r="V57" i="1"/>
  <c r="V43" i="1" s="1"/>
  <c r="W58" i="1"/>
  <c r="W60" i="1" s="1"/>
  <c r="W44" i="1" s="1"/>
  <c r="W6" i="1" s="1"/>
  <c r="W20" i="1" s="1"/>
  <c r="U60" i="1"/>
  <c r="O66" i="1"/>
  <c r="O71" i="1"/>
  <c r="O85" i="1"/>
  <c r="O90" i="1"/>
  <c r="O91" i="1"/>
  <c r="Y129" i="2"/>
  <c r="Y130" i="2" s="1"/>
  <c r="Y134" i="2" s="1"/>
  <c r="O103" i="1"/>
  <c r="O107" i="1"/>
  <c r="O115" i="1"/>
  <c r="U120" i="1"/>
  <c r="R38" i="2"/>
  <c r="X38" i="2"/>
  <c r="V38" i="2"/>
  <c r="T38" i="2"/>
  <c r="K29" i="2"/>
  <c r="S29" i="2"/>
  <c r="S57" i="2"/>
  <c r="X55" i="2"/>
  <c r="T76" i="2"/>
  <c r="Y98" i="2"/>
  <c r="X100" i="2"/>
  <c r="T100" i="2"/>
  <c r="R100" i="2"/>
  <c r="V100" i="2"/>
  <c r="U125" i="2"/>
  <c r="O35" i="1"/>
  <c r="O50" i="1"/>
  <c r="O55" i="1"/>
  <c r="Q56" i="1"/>
  <c r="O65" i="1"/>
  <c r="Q66" i="1"/>
  <c r="Q71" i="1"/>
  <c r="Q85" i="1"/>
  <c r="O89" i="1"/>
  <c r="Q90" i="1"/>
  <c r="Q91" i="1"/>
  <c r="O96" i="1"/>
  <c r="W99" i="1"/>
  <c r="Z129" i="2" s="1"/>
  <c r="Z130" i="2" s="1"/>
  <c r="Z134" i="2" s="1"/>
  <c r="O102" i="1"/>
  <c r="Q103" i="1"/>
  <c r="Q107" i="1"/>
  <c r="O112" i="1"/>
  <c r="Q115" i="1"/>
  <c r="W118" i="1"/>
  <c r="V120" i="1"/>
  <c r="V76" i="1" s="1"/>
  <c r="V5" i="1" s="1"/>
  <c r="V19" i="1" s="1"/>
  <c r="O132" i="1"/>
  <c r="K43" i="2"/>
  <c r="U43" i="2"/>
  <c r="R47" i="2"/>
  <c r="P49" i="2"/>
  <c r="T47" i="2"/>
  <c r="X47" i="2"/>
  <c r="V62" i="2"/>
  <c r="R62" i="2"/>
  <c r="X62" i="2"/>
  <c r="Q67" i="2"/>
  <c r="T95" i="2"/>
  <c r="W98" i="2"/>
  <c r="X97" i="2"/>
  <c r="S125" i="2"/>
  <c r="V79" i="2"/>
  <c r="X79" i="2"/>
  <c r="T79" i="2"/>
  <c r="R79" i="2"/>
  <c r="R143" i="2"/>
  <c r="Z161" i="2"/>
  <c r="T199" i="2"/>
  <c r="X199" i="2"/>
  <c r="R199" i="2"/>
  <c r="V199" i="2"/>
  <c r="O117" i="1"/>
  <c r="S137" i="1"/>
  <c r="T39" i="2"/>
  <c r="X39" i="2"/>
  <c r="R39" i="2"/>
  <c r="J43" i="2"/>
  <c r="H57" i="2"/>
  <c r="H30" i="2"/>
  <c r="P63" i="2"/>
  <c r="P64" i="2" s="1"/>
  <c r="K64" i="2"/>
  <c r="K67" i="2" s="1"/>
  <c r="T73" i="2"/>
  <c r="R73" i="2"/>
  <c r="X73" i="2"/>
  <c r="V73" i="2"/>
  <c r="T81" i="2"/>
  <c r="R81" i="2"/>
  <c r="V81" i="2"/>
  <c r="P90" i="2"/>
  <c r="P98" i="2" s="1"/>
  <c r="R98" i="2" s="1"/>
  <c r="V133" i="2"/>
  <c r="P134" i="2"/>
  <c r="X134" i="2" s="1"/>
  <c r="Z141" i="2"/>
  <c r="Z143" i="2" s="1"/>
  <c r="Y143" i="2"/>
  <c r="Y144" i="2" s="1"/>
  <c r="P171" i="2"/>
  <c r="X168" i="2"/>
  <c r="R168" i="2"/>
  <c r="V168" i="2"/>
  <c r="T168" i="2"/>
  <c r="X252" i="2"/>
  <c r="V252" i="2"/>
  <c r="R252" i="2"/>
  <c r="T252" i="2"/>
  <c r="T211" i="2"/>
  <c r="R211" i="2"/>
  <c r="X211" i="2"/>
  <c r="V211" i="2"/>
  <c r="S229" i="2"/>
  <c r="T228" i="2"/>
  <c r="V254" i="2"/>
  <c r="X254" i="2"/>
  <c r="T254" i="2"/>
  <c r="R254" i="2"/>
  <c r="W282" i="2"/>
  <c r="W268" i="2"/>
  <c r="X476" i="2"/>
  <c r="T476" i="2"/>
  <c r="P477" i="2"/>
  <c r="V476" i="2"/>
  <c r="R476" i="2"/>
  <c r="M29" i="2"/>
  <c r="R76" i="2"/>
  <c r="X77" i="2"/>
  <c r="X87" i="2"/>
  <c r="Z117" i="2"/>
  <c r="M125" i="2"/>
  <c r="X118" i="2"/>
  <c r="R118" i="2"/>
  <c r="P122" i="2"/>
  <c r="V122" i="2" s="1"/>
  <c r="R120" i="2"/>
  <c r="X120" i="2"/>
  <c r="V131" i="2"/>
  <c r="Z173" i="2"/>
  <c r="Z176" i="2" s="1"/>
  <c r="Y176" i="2"/>
  <c r="Y162" i="2" s="1"/>
  <c r="Y164" i="2" s="1"/>
  <c r="U209" i="2"/>
  <c r="U191" i="2"/>
  <c r="J221" i="2"/>
  <c r="J4" i="2" s="1"/>
  <c r="J15" i="2" s="1"/>
  <c r="M220" i="2"/>
  <c r="M223" i="2" s="1"/>
  <c r="M250" i="2"/>
  <c r="N222" i="2"/>
  <c r="N6" i="2" s="1"/>
  <c r="N17" i="2" s="1"/>
  <c r="N250" i="2"/>
  <c r="Y250" i="2"/>
  <c r="I269" i="2"/>
  <c r="I282" i="2"/>
  <c r="Q30" i="2"/>
  <c r="Y43" i="2"/>
  <c r="G31" i="2"/>
  <c r="G24" i="2" s="1"/>
  <c r="G6" i="2" s="1"/>
  <c r="G17" i="2" s="1"/>
  <c r="O31" i="2"/>
  <c r="O24" i="2" s="1"/>
  <c r="O6" i="2" s="1"/>
  <c r="O17" i="2" s="1"/>
  <c r="W31" i="2"/>
  <c r="V65" i="2"/>
  <c r="P77" i="2"/>
  <c r="V77" i="2" s="1"/>
  <c r="X91" i="2"/>
  <c r="R91" i="2"/>
  <c r="X93" i="2"/>
  <c r="V93" i="2"/>
  <c r="T93" i="2"/>
  <c r="X101" i="2"/>
  <c r="V101" i="2"/>
  <c r="T101" i="2"/>
  <c r="T130" i="2"/>
  <c r="S134" i="2"/>
  <c r="T134" i="2" s="1"/>
  <c r="T133" i="2"/>
  <c r="T185" i="2"/>
  <c r="X185" i="2"/>
  <c r="R185" i="2"/>
  <c r="T187" i="2"/>
  <c r="R187" i="2"/>
  <c r="X187" i="2"/>
  <c r="V187" i="2"/>
  <c r="R249" i="2"/>
  <c r="Q222" i="2"/>
  <c r="R222" i="2" s="1"/>
  <c r="N282" i="2"/>
  <c r="N268" i="2"/>
  <c r="G30" i="2"/>
  <c r="G23" i="2" s="1"/>
  <c r="O30" i="2"/>
  <c r="O23" i="2" s="1"/>
  <c r="P42" i="2"/>
  <c r="X42" i="2" s="1"/>
  <c r="O43" i="2"/>
  <c r="R48" i="2"/>
  <c r="R52" i="2"/>
  <c r="X65" i="2"/>
  <c r="T72" i="2"/>
  <c r="V76" i="2"/>
  <c r="R90" i="2"/>
  <c r="T91" i="2"/>
  <c r="R93" i="2"/>
  <c r="R101" i="2"/>
  <c r="Y122" i="2"/>
  <c r="V185" i="2"/>
  <c r="M209" i="2"/>
  <c r="M191" i="2"/>
  <c r="M194" i="2" s="1"/>
  <c r="K282" i="2"/>
  <c r="K268" i="2"/>
  <c r="W57" i="2"/>
  <c r="X49" i="2"/>
  <c r="W29" i="2"/>
  <c r="R56" i="2"/>
  <c r="Z76" i="2"/>
  <c r="Z77" i="2" s="1"/>
  <c r="S98" i="2"/>
  <c r="Y124" i="2"/>
  <c r="Y31" i="2" s="1"/>
  <c r="Y24" i="2" s="1"/>
  <c r="Y6" i="2" s="1"/>
  <c r="Y17" i="2" s="1"/>
  <c r="Z123" i="2"/>
  <c r="Z124" i="2" s="1"/>
  <c r="Z31" i="2" s="1"/>
  <c r="Z24" i="2" s="1"/>
  <c r="Z6" i="2" s="1"/>
  <c r="Z17" i="2" s="1"/>
  <c r="V134" i="2"/>
  <c r="V149" i="2"/>
  <c r="T149" i="2"/>
  <c r="R149" i="2"/>
  <c r="Z191" i="2"/>
  <c r="Z194" i="2" s="1"/>
  <c r="Z209" i="2"/>
  <c r="Z221" i="2"/>
  <c r="Q250" i="2"/>
  <c r="U250" i="2"/>
  <c r="T37" i="2"/>
  <c r="T40" i="2"/>
  <c r="S30" i="2"/>
  <c r="V41" i="2"/>
  <c r="K31" i="2"/>
  <c r="K24" i="2" s="1"/>
  <c r="K6" i="2" s="1"/>
  <c r="K17" i="2" s="1"/>
  <c r="S31" i="2"/>
  <c r="S43" i="2"/>
  <c r="G57" i="2"/>
  <c r="G29" i="2"/>
  <c r="O57" i="2"/>
  <c r="O29" i="2"/>
  <c r="P66" i="2"/>
  <c r="X72" i="2"/>
  <c r="T87" i="2"/>
  <c r="V87" i="2"/>
  <c r="X94" i="2"/>
  <c r="R94" i="2"/>
  <c r="V95" i="2"/>
  <c r="V97" i="2"/>
  <c r="T114" i="2"/>
  <c r="X114" i="2"/>
  <c r="P117" i="2"/>
  <c r="V114" i="2"/>
  <c r="R114" i="2"/>
  <c r="K125" i="2"/>
  <c r="X131" i="2"/>
  <c r="R131" i="2"/>
  <c r="U162" i="2"/>
  <c r="V182" i="2"/>
  <c r="T182" i="2"/>
  <c r="R182" i="2"/>
  <c r="H221" i="2"/>
  <c r="H223" i="2" s="1"/>
  <c r="Q229" i="2"/>
  <c r="R228" i="2"/>
  <c r="T281" i="2"/>
  <c r="S270" i="2"/>
  <c r="P40" i="2"/>
  <c r="V40" i="2" s="1"/>
  <c r="X71" i="2"/>
  <c r="J144" i="2"/>
  <c r="X141" i="2"/>
  <c r="U157" i="2"/>
  <c r="N161" i="2"/>
  <c r="N164" i="2" s="1"/>
  <c r="V169" i="2"/>
  <c r="H164" i="2"/>
  <c r="Q179" i="2"/>
  <c r="X173" i="2"/>
  <c r="X214" i="2"/>
  <c r="R214" i="2"/>
  <c r="X215" i="2"/>
  <c r="W220" i="2"/>
  <c r="W250" i="2"/>
  <c r="J271" i="2"/>
  <c r="Q269" i="2"/>
  <c r="Q270" i="2"/>
  <c r="R281" i="2"/>
  <c r="Q282" i="2"/>
  <c r="U294" i="2"/>
  <c r="W319" i="2"/>
  <c r="R133" i="2"/>
  <c r="Q164" i="2"/>
  <c r="X184" i="2"/>
  <c r="R184" i="2"/>
  <c r="O194" i="2"/>
  <c r="X198" i="2"/>
  <c r="R198" i="2"/>
  <c r="P201" i="2"/>
  <c r="Y209" i="2"/>
  <c r="T205" i="2"/>
  <c r="R205" i="2"/>
  <c r="W192" i="2"/>
  <c r="V228" i="2"/>
  <c r="O221" i="2"/>
  <c r="K247" i="2"/>
  <c r="K250" i="2" s="1"/>
  <c r="P245" i="2"/>
  <c r="T249" i="2"/>
  <c r="W410" i="2"/>
  <c r="W390" i="2"/>
  <c r="X409" i="2"/>
  <c r="S110" i="2"/>
  <c r="T110" i="2" s="1"/>
  <c r="H125" i="2"/>
  <c r="Y117" i="2"/>
  <c r="Y125" i="2" s="1"/>
  <c r="Q125" i="2"/>
  <c r="R132" i="2"/>
  <c r="T148" i="2"/>
  <c r="R148" i="2"/>
  <c r="T171" i="2"/>
  <c r="T181" i="2"/>
  <c r="R181" i="2"/>
  <c r="T184" i="2"/>
  <c r="J193" i="2"/>
  <c r="J194" i="2" s="1"/>
  <c r="W193" i="2"/>
  <c r="Q194" i="2"/>
  <c r="T198" i="2"/>
  <c r="I209" i="2"/>
  <c r="Q209" i="2"/>
  <c r="V205" i="2"/>
  <c r="R216" i="2"/>
  <c r="X228" i="2"/>
  <c r="G220" i="2"/>
  <c r="G223" i="2" s="1"/>
  <c r="G250" i="2"/>
  <c r="O220" i="2"/>
  <c r="O250" i="2"/>
  <c r="Y291" i="2"/>
  <c r="Y294" i="2" s="1"/>
  <c r="Z288" i="2"/>
  <c r="Z291" i="2" s="1"/>
  <c r="Z294" i="2" s="1"/>
  <c r="R299" i="2"/>
  <c r="X299" i="2"/>
  <c r="T311" i="2"/>
  <c r="L334" i="2"/>
  <c r="L317" i="2"/>
  <c r="L319" i="2" s="1"/>
  <c r="H77" i="2"/>
  <c r="R75" i="2"/>
  <c r="R104" i="2"/>
  <c r="R121" i="2"/>
  <c r="R123" i="2"/>
  <c r="I134" i="2"/>
  <c r="Q134" i="2"/>
  <c r="R134" i="2" s="1"/>
  <c r="V132" i="2"/>
  <c r="X139" i="2"/>
  <c r="W144" i="2"/>
  <c r="R142" i="2"/>
  <c r="V148" i="2"/>
  <c r="T155" i="2"/>
  <c r="R155" i="2"/>
  <c r="S164" i="2"/>
  <c r="Y179" i="2"/>
  <c r="R170" i="2"/>
  <c r="L161" i="2"/>
  <c r="L164" i="2" s="1"/>
  <c r="L179" i="2"/>
  <c r="U179" i="2"/>
  <c r="V181" i="2"/>
  <c r="V184" i="2"/>
  <c r="G194" i="2"/>
  <c r="V198" i="2"/>
  <c r="R201" i="2"/>
  <c r="K206" i="2"/>
  <c r="P204" i="2"/>
  <c r="X205" i="2"/>
  <c r="G209" i="2"/>
  <c r="S209" i="2"/>
  <c r="T216" i="2"/>
  <c r="Z223" i="2"/>
  <c r="Y228" i="2"/>
  <c r="Y229" i="2" s="1"/>
  <c r="Y221" i="2" s="1"/>
  <c r="Y223" i="2" s="1"/>
  <c r="U229" i="2"/>
  <c r="H250" i="2"/>
  <c r="R243" i="2"/>
  <c r="H282" i="2"/>
  <c r="H268" i="2"/>
  <c r="T278" i="2"/>
  <c r="P279" i="2"/>
  <c r="X278" i="2"/>
  <c r="R278" i="2"/>
  <c r="N326" i="2"/>
  <c r="N317" i="2"/>
  <c r="N261" i="2" s="1"/>
  <c r="N4" i="2" s="1"/>
  <c r="R370" i="2"/>
  <c r="Q360" i="2"/>
  <c r="Q371" i="2"/>
  <c r="W157" i="2"/>
  <c r="P176" i="2"/>
  <c r="R176" i="2" s="1"/>
  <c r="H209" i="2"/>
  <c r="V212" i="2"/>
  <c r="T212" i="2"/>
  <c r="X216" i="2"/>
  <c r="X240" i="2"/>
  <c r="V240" i="2"/>
  <c r="R240" i="2"/>
  <c r="W222" i="2"/>
  <c r="S250" i="2"/>
  <c r="X253" i="2"/>
  <c r="T253" i="2"/>
  <c r="J261" i="2"/>
  <c r="X280" i="2"/>
  <c r="P281" i="2"/>
  <c r="V280" i="2"/>
  <c r="R280" i="2"/>
  <c r="T302" i="2"/>
  <c r="V311" i="2"/>
  <c r="V312" i="2"/>
  <c r="Z144" i="2"/>
  <c r="R141" i="2"/>
  <c r="V143" i="2"/>
  <c r="W164" i="2"/>
  <c r="X171" i="2"/>
  <c r="S179" i="2"/>
  <c r="L191" i="2"/>
  <c r="L194" i="2" s="1"/>
  <c r="L209" i="2"/>
  <c r="W209" i="2"/>
  <c r="R212" i="2"/>
  <c r="G221" i="2"/>
  <c r="X229" i="2"/>
  <c r="W221" i="2"/>
  <c r="T240" i="2"/>
  <c r="X246" i="2"/>
  <c r="V246" i="2"/>
  <c r="R246" i="2"/>
  <c r="R253" i="2"/>
  <c r="T280" i="2"/>
  <c r="W261" i="2"/>
  <c r="Q317" i="2"/>
  <c r="Q326" i="2"/>
  <c r="R325" i="2"/>
  <c r="P156" i="2"/>
  <c r="P206" i="2"/>
  <c r="S222" i="2"/>
  <c r="T222" i="2" s="1"/>
  <c r="X227" i="2"/>
  <c r="P249" i="2"/>
  <c r="P222" i="2" s="1"/>
  <c r="V222" i="2" s="1"/>
  <c r="L269" i="2"/>
  <c r="T312" i="2"/>
  <c r="G334" i="2"/>
  <c r="G316" i="2"/>
  <c r="G319" i="2" s="1"/>
  <c r="R333" i="2"/>
  <c r="X333" i="2"/>
  <c r="V333" i="2"/>
  <c r="N349" i="2"/>
  <c r="N318" i="2"/>
  <c r="N263" i="2" s="1"/>
  <c r="G391" i="2"/>
  <c r="P242" i="2"/>
  <c r="U269" i="2"/>
  <c r="L268" i="2"/>
  <c r="L294" i="2"/>
  <c r="K303" i="2"/>
  <c r="X311" i="2"/>
  <c r="W312" i="2"/>
  <c r="X312" i="2" s="1"/>
  <c r="I317" i="2"/>
  <c r="I326" i="2"/>
  <c r="R334" i="2"/>
  <c r="I353" i="2"/>
  <c r="Q361" i="2"/>
  <c r="Q353" i="2"/>
  <c r="R359" i="2"/>
  <c r="P378" i="2"/>
  <c r="K379" i="2"/>
  <c r="P208" i="2"/>
  <c r="P234" i="2"/>
  <c r="R239" i="2"/>
  <c r="R244" i="2"/>
  <c r="O268" i="2"/>
  <c r="P275" i="2"/>
  <c r="T277" i="2"/>
  <c r="M269" i="2"/>
  <c r="M261" i="2" s="1"/>
  <c r="V279" i="2"/>
  <c r="R289" i="2"/>
  <c r="M294" i="2"/>
  <c r="V299" i="2"/>
  <c r="Y302" i="2"/>
  <c r="Y303" i="2" s="1"/>
  <c r="Z300" i="2"/>
  <c r="Z302" i="2" s="1"/>
  <c r="Z303" i="2" s="1"/>
  <c r="I319" i="2"/>
  <c r="T331" i="2"/>
  <c r="S334" i="2"/>
  <c r="T334" i="2" s="1"/>
  <c r="S316" i="2"/>
  <c r="G269" i="2"/>
  <c r="G261" i="2" s="1"/>
  <c r="S282" i="2"/>
  <c r="V277" i="2"/>
  <c r="V289" i="2"/>
  <c r="Z325" i="2"/>
  <c r="J361" i="2"/>
  <c r="Z359" i="2"/>
  <c r="T293" i="2"/>
  <c r="S294" i="2"/>
  <c r="N319" i="2"/>
  <c r="V324" i="2"/>
  <c r="X324" i="2"/>
  <c r="T324" i="2"/>
  <c r="R324" i="2"/>
  <c r="Z279" i="2"/>
  <c r="Z269" i="2" s="1"/>
  <c r="Y279" i="2"/>
  <c r="Y269" i="2" s="1"/>
  <c r="Y261" i="2" s="1"/>
  <c r="X288" i="2"/>
  <c r="R288" i="2"/>
  <c r="P291" i="2"/>
  <c r="X306" i="2"/>
  <c r="V306" i="2"/>
  <c r="T306" i="2"/>
  <c r="R306" i="2"/>
  <c r="Q312" i="2"/>
  <c r="R312" i="2" s="1"/>
  <c r="R311" i="2"/>
  <c r="O319" i="2"/>
  <c r="Y317" i="2"/>
  <c r="Y326" i="2"/>
  <c r="L361" i="2"/>
  <c r="L353" i="2"/>
  <c r="L355" i="2" s="1"/>
  <c r="X412" i="2"/>
  <c r="V412" i="2"/>
  <c r="R412" i="2"/>
  <c r="T412" i="2"/>
  <c r="Q268" i="2"/>
  <c r="S303" i="2"/>
  <c r="T310" i="2"/>
  <c r="J316" i="2"/>
  <c r="P318" i="2"/>
  <c r="U334" i="2"/>
  <c r="V331" i="2"/>
  <c r="V340" i="2"/>
  <c r="R340" i="2"/>
  <c r="P342" i="2"/>
  <c r="P345" i="2"/>
  <c r="K346" i="2"/>
  <c r="K317" i="2" s="1"/>
  <c r="K261" i="2" s="1"/>
  <c r="X348" i="2"/>
  <c r="H361" i="2"/>
  <c r="R366" i="2"/>
  <c r="I360" i="2"/>
  <c r="I354" i="2" s="1"/>
  <c r="T371" i="2"/>
  <c r="H389" i="2"/>
  <c r="H399" i="2"/>
  <c r="P389" i="2"/>
  <c r="P399" i="2"/>
  <c r="X399" i="2" s="1"/>
  <c r="T396" i="2"/>
  <c r="X396" i="2"/>
  <c r="T398" i="2"/>
  <c r="J453" i="2"/>
  <c r="J456" i="2" s="1"/>
  <c r="J463" i="2"/>
  <c r="H523" i="2"/>
  <c r="P302" i="2"/>
  <c r="P303" i="2" s="1"/>
  <c r="V310" i="2"/>
  <c r="P346" i="2"/>
  <c r="V343" i="2"/>
  <c r="R343" i="2"/>
  <c r="V370" i="2"/>
  <c r="U360" i="2"/>
  <c r="U371" i="2"/>
  <c r="V371" i="2" s="1"/>
  <c r="Z378" i="2"/>
  <c r="Z379" i="2" s="1"/>
  <c r="T432" i="2"/>
  <c r="S425" i="2"/>
  <c r="S435" i="2"/>
  <c r="X446" i="2"/>
  <c r="T446" i="2"/>
  <c r="V446" i="2"/>
  <c r="R446" i="2"/>
  <c r="R301" i="2"/>
  <c r="X310" i="2"/>
  <c r="X331" i="2"/>
  <c r="P334" i="2"/>
  <c r="X334" i="2" s="1"/>
  <c r="T343" i="2"/>
  <c r="N354" i="2"/>
  <c r="U353" i="2"/>
  <c r="V359" i="2"/>
  <c r="W360" i="2"/>
  <c r="W371" i="2"/>
  <c r="X371" i="2" s="1"/>
  <c r="Q380" i="2"/>
  <c r="V383" i="2"/>
  <c r="T383" i="2"/>
  <c r="R383" i="2"/>
  <c r="X385" i="2"/>
  <c r="R385" i="2"/>
  <c r="V385" i="2"/>
  <c r="T399" i="2"/>
  <c r="M390" i="2"/>
  <c r="P390" i="2" s="1"/>
  <c r="X398" i="2"/>
  <c r="Z406" i="2"/>
  <c r="Z409" i="2" s="1"/>
  <c r="Y409" i="2"/>
  <c r="Y410" i="2" s="1"/>
  <c r="J435" i="2"/>
  <c r="J425" i="2"/>
  <c r="J427" i="2" s="1"/>
  <c r="V475" i="2"/>
  <c r="T475" i="2"/>
  <c r="R300" i="2"/>
  <c r="R302" i="2"/>
  <c r="M316" i="2"/>
  <c r="M319" i="2" s="1"/>
  <c r="U316" i="2"/>
  <c r="U260" i="2" s="1"/>
  <c r="R323" i="2"/>
  <c r="M317" i="2"/>
  <c r="U317" i="2"/>
  <c r="U326" i="2"/>
  <c r="Y316" i="2"/>
  <c r="Y319" i="2" s="1"/>
  <c r="I349" i="2"/>
  <c r="X343" i="2"/>
  <c r="G353" i="2"/>
  <c r="M353" i="2"/>
  <c r="M361" i="2"/>
  <c r="Y370" i="2"/>
  <c r="R373" i="2"/>
  <c r="X373" i="2"/>
  <c r="V373" i="2"/>
  <c r="X383" i="2"/>
  <c r="T385" i="2"/>
  <c r="V396" i="2"/>
  <c r="U389" i="2"/>
  <c r="U399" i="2"/>
  <c r="V399" i="2" s="1"/>
  <c r="K453" i="2"/>
  <c r="K456" i="2" s="1"/>
  <c r="S463" i="2"/>
  <c r="S349" i="2"/>
  <c r="T342" i="2"/>
  <c r="N359" i="2"/>
  <c r="N371" i="2"/>
  <c r="M354" i="2"/>
  <c r="T373" i="2"/>
  <c r="W380" i="2"/>
  <c r="U380" i="2"/>
  <c r="N390" i="2"/>
  <c r="N391" i="2" s="1"/>
  <c r="L399" i="2"/>
  <c r="L389" i="2"/>
  <c r="L391" i="2" s="1"/>
  <c r="I399" i="2"/>
  <c r="N478" i="2"/>
  <c r="N460" i="2"/>
  <c r="V477" i="2"/>
  <c r="R332" i="2"/>
  <c r="V332" i="2"/>
  <c r="H334" i="2"/>
  <c r="R341" i="2"/>
  <c r="K349" i="2"/>
  <c r="V342" i="2"/>
  <c r="U349" i="2"/>
  <c r="J353" i="2"/>
  <c r="J355" i="2" s="1"/>
  <c r="P370" i="2"/>
  <c r="X370" i="2" s="1"/>
  <c r="V368" i="2"/>
  <c r="T368" i="2"/>
  <c r="R368" i="2"/>
  <c r="T426" i="2"/>
  <c r="Z435" i="2"/>
  <c r="Z425" i="2"/>
  <c r="Z467" i="2"/>
  <c r="Z470" i="2" s="1"/>
  <c r="Y470" i="2"/>
  <c r="P325" i="2"/>
  <c r="R331" i="2"/>
  <c r="T332" i="2"/>
  <c r="T341" i="2"/>
  <c r="V348" i="2"/>
  <c r="P371" i="2"/>
  <c r="T366" i="2"/>
  <c r="Y353" i="2"/>
  <c r="X368" i="2"/>
  <c r="G360" i="2"/>
  <c r="G371" i="2"/>
  <c r="O360" i="2"/>
  <c r="O371" i="2"/>
  <c r="M371" i="2"/>
  <c r="J380" i="2"/>
  <c r="J360" i="2"/>
  <c r="J354" i="2" s="1"/>
  <c r="R382" i="2"/>
  <c r="T382" i="2"/>
  <c r="X382" i="2"/>
  <c r="R399" i="2"/>
  <c r="P444" i="2"/>
  <c r="X443" i="2"/>
  <c r="R443" i="2"/>
  <c r="P426" i="2"/>
  <c r="S455" i="2"/>
  <c r="X384" i="2"/>
  <c r="V384" i="2"/>
  <c r="Z389" i="2"/>
  <c r="M391" i="2"/>
  <c r="Y398" i="2"/>
  <c r="T407" i="2"/>
  <c r="R407" i="2"/>
  <c r="X407" i="2"/>
  <c r="V407" i="2"/>
  <c r="G410" i="2"/>
  <c r="G390" i="2"/>
  <c r="O410" i="2"/>
  <c r="O390" i="2"/>
  <c r="K427" i="2"/>
  <c r="V432" i="2"/>
  <c r="U435" i="2"/>
  <c r="G435" i="2"/>
  <c r="G426" i="2"/>
  <c r="G427" i="2" s="1"/>
  <c r="O435" i="2"/>
  <c r="O426" i="2"/>
  <c r="O427" i="2" s="1"/>
  <c r="X437" i="2"/>
  <c r="T437" i="2"/>
  <c r="T468" i="2"/>
  <c r="R468" i="2"/>
  <c r="X468" i="2"/>
  <c r="V468" i="2"/>
  <c r="Q497" i="2"/>
  <c r="O389" i="2"/>
  <c r="O353" i="2" s="1"/>
  <c r="Q410" i="2"/>
  <c r="H427" i="2"/>
  <c r="Z426" i="2"/>
  <c r="Q478" i="2"/>
  <c r="Q460" i="2"/>
  <c r="Y454" i="2"/>
  <c r="R475" i="2"/>
  <c r="S497" i="2"/>
  <c r="T489" i="2"/>
  <c r="X413" i="2"/>
  <c r="T413" i="2"/>
  <c r="R426" i="2"/>
  <c r="T443" i="2"/>
  <c r="I478" i="2"/>
  <c r="I460" i="2"/>
  <c r="T470" i="2"/>
  <c r="S454" i="2"/>
  <c r="U454" i="2"/>
  <c r="H562" i="2"/>
  <c r="H521" i="2"/>
  <c r="H9" i="2" s="1"/>
  <c r="H11" i="2" s="1"/>
  <c r="V561" i="2"/>
  <c r="X561" i="2"/>
  <c r="Y550" i="2"/>
  <c r="Y551" i="2" s="1"/>
  <c r="Y520" i="2"/>
  <c r="R561" i="2"/>
  <c r="S391" i="2"/>
  <c r="T389" i="2"/>
  <c r="R396" i="2"/>
  <c r="M399" i="2"/>
  <c r="V413" i="2"/>
  <c r="Y421" i="2"/>
  <c r="Y422" i="2" s="1"/>
  <c r="M425" i="2"/>
  <c r="M427" i="2" s="1"/>
  <c r="V426" i="2"/>
  <c r="U427" i="2"/>
  <c r="X433" i="2"/>
  <c r="V433" i="2"/>
  <c r="R433" i="2"/>
  <c r="T434" i="2"/>
  <c r="L456" i="2"/>
  <c r="L463" i="2"/>
  <c r="K478" i="2"/>
  <c r="Q528" i="2"/>
  <c r="Q521" i="2"/>
  <c r="L551" i="2"/>
  <c r="L521" i="2"/>
  <c r="L9" i="2" s="1"/>
  <c r="L11" i="2" s="1"/>
  <c r="Z551" i="2"/>
  <c r="X583" i="2"/>
  <c r="V583" i="2"/>
  <c r="T583" i="2"/>
  <c r="R583" i="2"/>
  <c r="U622" i="2"/>
  <c r="X626" i="2"/>
  <c r="V626" i="2"/>
  <c r="T626" i="2"/>
  <c r="R626" i="2"/>
  <c r="P627" i="2"/>
  <c r="U422" i="2"/>
  <c r="R435" i="2"/>
  <c r="X442" i="2"/>
  <c r="V442" i="2"/>
  <c r="R442" i="2"/>
  <c r="H463" i="2"/>
  <c r="W478" i="2"/>
  <c r="W460" i="2"/>
  <c r="X470" i="2"/>
  <c r="R477" i="2"/>
  <c r="Q462" i="2"/>
  <c r="T508" i="2"/>
  <c r="R508" i="2"/>
  <c r="X508" i="2"/>
  <c r="I528" i="2"/>
  <c r="I521" i="2"/>
  <c r="I9" i="2" s="1"/>
  <c r="I11" i="2" s="1"/>
  <c r="S528" i="2"/>
  <c r="S521" i="2"/>
  <c r="U523" i="2"/>
  <c r="K574" i="2"/>
  <c r="P573" i="2"/>
  <c r="K520" i="2"/>
  <c r="K575" i="2"/>
  <c r="Q592" i="2"/>
  <c r="X389" i="2"/>
  <c r="V398" i="2"/>
  <c r="W422" i="2"/>
  <c r="Q427" i="2"/>
  <c r="P435" i="2"/>
  <c r="P425" i="2"/>
  <c r="R432" i="2"/>
  <c r="W435" i="2"/>
  <c r="W426" i="2"/>
  <c r="T442" i="2"/>
  <c r="X473" i="2"/>
  <c r="T473" i="2"/>
  <c r="X475" i="2"/>
  <c r="T477" i="2"/>
  <c r="T496" i="2"/>
  <c r="Q575" i="2"/>
  <c r="R395" i="2"/>
  <c r="R402" i="2"/>
  <c r="T406" i="2"/>
  <c r="X408" i="2"/>
  <c r="R419" i="2"/>
  <c r="T420" i="2"/>
  <c r="Y442" i="2"/>
  <c r="Y443" i="2" s="1"/>
  <c r="R449" i="2"/>
  <c r="T467" i="2"/>
  <c r="X469" i="2"/>
  <c r="L478" i="2"/>
  <c r="R471" i="2"/>
  <c r="X472" i="2"/>
  <c r="J478" i="2"/>
  <c r="N497" i="2"/>
  <c r="Z494" i="2"/>
  <c r="T505" i="2"/>
  <c r="R505" i="2"/>
  <c r="V505" i="2"/>
  <c r="M511" i="2"/>
  <c r="W511" i="2"/>
  <c r="X515" i="2"/>
  <c r="V515" i="2"/>
  <c r="R515" i="2"/>
  <c r="O521" i="2"/>
  <c r="U551" i="2"/>
  <c r="R604" i="2"/>
  <c r="T402" i="2"/>
  <c r="V406" i="2"/>
  <c r="V420" i="2"/>
  <c r="V467" i="2"/>
  <c r="U478" i="2"/>
  <c r="T471" i="2"/>
  <c r="X505" i="2"/>
  <c r="X513" i="2"/>
  <c r="V513" i="2"/>
  <c r="T513" i="2"/>
  <c r="R513" i="2"/>
  <c r="T515" i="2"/>
  <c r="Q523" i="2"/>
  <c r="W537" i="2"/>
  <c r="X537" i="2" s="1"/>
  <c r="X536" i="2"/>
  <c r="X540" i="2"/>
  <c r="V540" i="2"/>
  <c r="R540" i="2"/>
  <c r="W520" i="2"/>
  <c r="W550" i="2"/>
  <c r="V579" i="2"/>
  <c r="R579" i="2"/>
  <c r="J521" i="2"/>
  <c r="J9" i="2" s="1"/>
  <c r="J11" i="2" s="1"/>
  <c r="J614" i="2"/>
  <c r="P409" i="2"/>
  <c r="T409" i="2" s="1"/>
  <c r="P470" i="2"/>
  <c r="V496" i="2"/>
  <c r="J523" i="2"/>
  <c r="N520" i="2"/>
  <c r="N550" i="2"/>
  <c r="N521" i="2" s="1"/>
  <c r="N9" i="2" s="1"/>
  <c r="N551" i="2"/>
  <c r="T561" i="2"/>
  <c r="V604" i="2"/>
  <c r="X609" i="2"/>
  <c r="V609" i="2"/>
  <c r="R609" i="2"/>
  <c r="W622" i="2"/>
  <c r="V481" i="2"/>
  <c r="T481" i="2"/>
  <c r="R481" i="2"/>
  <c r="X481" i="2"/>
  <c r="K497" i="2"/>
  <c r="R492" i="2"/>
  <c r="X492" i="2"/>
  <c r="T492" i="2"/>
  <c r="R494" i="2"/>
  <c r="X496" i="2"/>
  <c r="Z523" i="2"/>
  <c r="K528" i="2"/>
  <c r="K521" i="2"/>
  <c r="K9" i="2" s="1"/>
  <c r="X542" i="2"/>
  <c r="V542" i="2"/>
  <c r="T542" i="2"/>
  <c r="R542" i="2"/>
  <c r="X604" i="2"/>
  <c r="T609" i="2"/>
  <c r="H628" i="2"/>
  <c r="H621" i="2"/>
  <c r="Z628" i="2"/>
  <c r="Z621" i="2"/>
  <c r="P421" i="2"/>
  <c r="H478" i="2"/>
  <c r="V492" i="2"/>
  <c r="Y510" i="2"/>
  <c r="Z509" i="2"/>
  <c r="Z510" i="2" s="1"/>
  <c r="L523" i="2"/>
  <c r="G521" i="2"/>
  <c r="Y528" i="2"/>
  <c r="Q537" i="2"/>
  <c r="R536" i="2"/>
  <c r="P549" i="2"/>
  <c r="X568" i="2"/>
  <c r="V568" i="2"/>
  <c r="R568" i="2"/>
  <c r="W575" i="2"/>
  <c r="X581" i="2"/>
  <c r="V581" i="2"/>
  <c r="R581" i="2"/>
  <c r="W592" i="2"/>
  <c r="X596" i="2"/>
  <c r="V596" i="2"/>
  <c r="T596" i="2"/>
  <c r="R596" i="2"/>
  <c r="T605" i="2"/>
  <c r="S478" i="2"/>
  <c r="X482" i="2"/>
  <c r="V482" i="2"/>
  <c r="T482" i="2"/>
  <c r="X487" i="2"/>
  <c r="V487" i="2"/>
  <c r="R487" i="2"/>
  <c r="X490" i="2"/>
  <c r="V490" i="2"/>
  <c r="P494" i="2"/>
  <c r="T490" i="2"/>
  <c r="R490" i="2"/>
  <c r="V508" i="2"/>
  <c r="T537" i="2"/>
  <c r="S551" i="2"/>
  <c r="P562" i="2"/>
  <c r="X562" i="2" s="1"/>
  <c r="T560" i="2"/>
  <c r="R560" i="2"/>
  <c r="V560" i="2"/>
  <c r="T568" i="2"/>
  <c r="X578" i="2"/>
  <c r="V578" i="2"/>
  <c r="R578" i="2"/>
  <c r="T581" i="2"/>
  <c r="V605" i="2"/>
  <c r="J628" i="2"/>
  <c r="J621" i="2"/>
  <c r="V480" i="2"/>
  <c r="P489" i="2"/>
  <c r="V493" i="2"/>
  <c r="K494" i="2"/>
  <c r="K461" i="2" s="1"/>
  <c r="K454" i="2" s="1"/>
  <c r="T500" i="2"/>
  <c r="V501" i="2"/>
  <c r="X506" i="2"/>
  <c r="X509" i="2"/>
  <c r="P527" i="2"/>
  <c r="R531" i="2"/>
  <c r="X535" i="2"/>
  <c r="T541" i="2"/>
  <c r="V544" i="2"/>
  <c r="Z550" i="2"/>
  <c r="Z521" i="2" s="1"/>
  <c r="Z9" i="2" s="1"/>
  <c r="Z11" i="2" s="1"/>
  <c r="R556" i="2"/>
  <c r="Q562" i="2"/>
  <c r="R562" i="2" s="1"/>
  <c r="R566" i="2"/>
  <c r="X567" i="2"/>
  <c r="T569" i="2"/>
  <c r="X580" i="2"/>
  <c r="T582" i="2"/>
  <c r="T595" i="2"/>
  <c r="R603" i="2"/>
  <c r="W605" i="2"/>
  <c r="X605" i="2" s="1"/>
  <c r="X608" i="2"/>
  <c r="T617" i="2"/>
  <c r="X500" i="2"/>
  <c r="Y505" i="2"/>
  <c r="P536" i="2"/>
  <c r="T536" i="2" s="1"/>
  <c r="X541" i="2"/>
  <c r="K562" i="2"/>
  <c r="S562" i="2"/>
  <c r="T562" i="2" s="1"/>
  <c r="X569" i="2"/>
  <c r="X582" i="2"/>
  <c r="P590" i="2"/>
  <c r="X595" i="2"/>
  <c r="V603" i="2"/>
  <c r="Q605" i="2"/>
  <c r="R605" i="2" s="1"/>
  <c r="W614" i="2"/>
  <c r="X617" i="2"/>
  <c r="T507" i="2"/>
  <c r="K508" i="2"/>
  <c r="K511" i="2" s="1"/>
  <c r="P510" i="2"/>
  <c r="X510" i="2" s="1"/>
  <c r="T514" i="2"/>
  <c r="V486" i="2"/>
  <c r="U511" i="2"/>
  <c r="R535" i="2"/>
  <c r="R567" i="2"/>
  <c r="R580" i="2"/>
  <c r="R608" i="2"/>
  <c r="R480" i="2"/>
  <c r="R493" i="2"/>
  <c r="R501" i="2"/>
  <c r="P537" i="2"/>
  <c r="V537" i="2" s="1"/>
  <c r="P613" i="2"/>
  <c r="P427" i="2" l="1"/>
  <c r="V425" i="2"/>
  <c r="P497" i="2"/>
  <c r="V489" i="2"/>
  <c r="R489" i="2"/>
  <c r="G523" i="2"/>
  <c r="G9" i="2"/>
  <c r="G11" i="2" s="1"/>
  <c r="V573" i="2"/>
  <c r="T573" i="2"/>
  <c r="R573" i="2"/>
  <c r="P574" i="2"/>
  <c r="X573" i="2"/>
  <c r="U456" i="2"/>
  <c r="V390" i="2"/>
  <c r="T390" i="2"/>
  <c r="R390" i="2"/>
  <c r="T346" i="2"/>
  <c r="V346" i="2"/>
  <c r="R346" i="2"/>
  <c r="X346" i="2"/>
  <c r="T590" i="2"/>
  <c r="P592" i="2"/>
  <c r="R590" i="2"/>
  <c r="V590" i="2"/>
  <c r="K523" i="2"/>
  <c r="K8" i="2"/>
  <c r="K11" i="2" s="1"/>
  <c r="V444" i="2"/>
  <c r="R444" i="2"/>
  <c r="X444" i="2"/>
  <c r="T444" i="2"/>
  <c r="V527" i="2"/>
  <c r="P528" i="2"/>
  <c r="P521" i="2"/>
  <c r="T527" i="2"/>
  <c r="R527" i="2"/>
  <c r="X527" i="2"/>
  <c r="W551" i="2"/>
  <c r="W521" i="2"/>
  <c r="R427" i="2"/>
  <c r="Y360" i="2"/>
  <c r="Y371" i="2"/>
  <c r="N15" i="2"/>
  <c r="Z461" i="2"/>
  <c r="Z454" i="2" s="1"/>
  <c r="Z497" i="2"/>
  <c r="S9" i="2"/>
  <c r="S523" i="2"/>
  <c r="Q455" i="2"/>
  <c r="J319" i="2"/>
  <c r="J260" i="2"/>
  <c r="J264" i="2" s="1"/>
  <c r="M4" i="2"/>
  <c r="M15" i="2" s="1"/>
  <c r="W523" i="2"/>
  <c r="W8" i="2"/>
  <c r="X422" i="2"/>
  <c r="Z380" i="2"/>
  <c r="Z360" i="2"/>
  <c r="P67" i="2"/>
  <c r="R64" i="2"/>
  <c r="V64" i="2"/>
  <c r="X64" i="2"/>
  <c r="T64" i="2"/>
  <c r="V613" i="2"/>
  <c r="R613" i="2"/>
  <c r="P614" i="2"/>
  <c r="T613" i="2"/>
  <c r="X614" i="2"/>
  <c r="X590" i="2"/>
  <c r="T494" i="2"/>
  <c r="V494" i="2"/>
  <c r="P461" i="2"/>
  <c r="X494" i="2"/>
  <c r="X592" i="2"/>
  <c r="P550" i="2"/>
  <c r="T549" i="2"/>
  <c r="R549" i="2"/>
  <c r="P551" i="2"/>
  <c r="R551" i="2" s="1"/>
  <c r="P520" i="2"/>
  <c r="V549" i="2"/>
  <c r="X549" i="2"/>
  <c r="X489" i="2"/>
  <c r="X613" i="2"/>
  <c r="W4" i="1"/>
  <c r="W18" i="1" s="1"/>
  <c r="W26" i="1"/>
  <c r="R303" i="2"/>
  <c r="X303" i="2"/>
  <c r="V303" i="2"/>
  <c r="R425" i="2"/>
  <c r="V562" i="2"/>
  <c r="R592" i="2"/>
  <c r="R528" i="2"/>
  <c r="V427" i="2"/>
  <c r="H391" i="2"/>
  <c r="H353" i="2"/>
  <c r="H355" i="2" s="1"/>
  <c r="P511" i="2"/>
  <c r="V510" i="2"/>
  <c r="T421" i="2"/>
  <c r="P422" i="2"/>
  <c r="X421" i="2"/>
  <c r="V421" i="2"/>
  <c r="R421" i="2"/>
  <c r="H622" i="2"/>
  <c r="H12" i="2"/>
  <c r="X425" i="2"/>
  <c r="R510" i="2"/>
  <c r="T510" i="2"/>
  <c r="X511" i="2"/>
  <c r="I523" i="2"/>
  <c r="Z410" i="2"/>
  <c r="Z390" i="2"/>
  <c r="K463" i="2"/>
  <c r="Z162" i="2"/>
  <c r="Z179" i="2"/>
  <c r="P294" i="2"/>
  <c r="T291" i="2"/>
  <c r="U261" i="2"/>
  <c r="Q354" i="2"/>
  <c r="X192" i="2"/>
  <c r="S262" i="2"/>
  <c r="M271" i="2"/>
  <c r="W24" i="2"/>
  <c r="H32" i="2"/>
  <c r="H23" i="2"/>
  <c r="Z164" i="2"/>
  <c r="R67" i="2"/>
  <c r="P29" i="2"/>
  <c r="R49" i="2"/>
  <c r="U32" i="2"/>
  <c r="U22" i="2"/>
  <c r="N32" i="2"/>
  <c r="N22" i="2"/>
  <c r="P16" i="1"/>
  <c r="Q12" i="1"/>
  <c r="S51" i="1"/>
  <c r="I15" i="1"/>
  <c r="I130" i="1"/>
  <c r="L21" i="1"/>
  <c r="O11" i="1"/>
  <c r="D17" i="1"/>
  <c r="D21" i="1" s="1"/>
  <c r="D7" i="1"/>
  <c r="T551" i="2"/>
  <c r="Z622" i="2"/>
  <c r="Z12" i="2"/>
  <c r="Z13" i="2" s="1"/>
  <c r="N523" i="2"/>
  <c r="N8" i="2"/>
  <c r="N11" i="2" s="1"/>
  <c r="Y444" i="2"/>
  <c r="Y426" i="2"/>
  <c r="Y427" i="2" s="1"/>
  <c r="T528" i="2"/>
  <c r="Y8" i="2"/>
  <c r="T497" i="2"/>
  <c r="V349" i="2"/>
  <c r="N463" i="2"/>
  <c r="N453" i="2"/>
  <c r="N456" i="2" s="1"/>
  <c r="T345" i="2"/>
  <c r="X345" i="2"/>
  <c r="V345" i="2"/>
  <c r="R345" i="2"/>
  <c r="Z317" i="2"/>
  <c r="Z319" i="2" s="1"/>
  <c r="Z326" i="2"/>
  <c r="S260" i="2"/>
  <c r="S319" i="2"/>
  <c r="P235" i="2"/>
  <c r="V234" i="2"/>
  <c r="R234" i="2"/>
  <c r="I355" i="2"/>
  <c r="G260" i="2"/>
  <c r="G264" i="2" s="1"/>
  <c r="P192" i="2"/>
  <c r="R206" i="2"/>
  <c r="V206" i="2"/>
  <c r="H271" i="2"/>
  <c r="H260" i="2"/>
  <c r="O223" i="2"/>
  <c r="R209" i="2"/>
  <c r="X245" i="2"/>
  <c r="V245" i="2"/>
  <c r="T245" i="2"/>
  <c r="R245" i="2"/>
  <c r="V294" i="2"/>
  <c r="V176" i="2"/>
  <c r="G32" i="2"/>
  <c r="G22" i="2"/>
  <c r="W32" i="2"/>
  <c r="W22" i="2"/>
  <c r="T206" i="2"/>
  <c r="Y282" i="2"/>
  <c r="T234" i="2"/>
  <c r="V90" i="2"/>
  <c r="T19" i="1"/>
  <c r="U19" i="1" s="1"/>
  <c r="U5" i="1"/>
  <c r="U24" i="2"/>
  <c r="U135" i="1"/>
  <c r="M129" i="1"/>
  <c r="Q135" i="1"/>
  <c r="O135" i="1"/>
  <c r="S135" i="1"/>
  <c r="J32" i="2"/>
  <c r="J22" i="2"/>
  <c r="V26" i="1"/>
  <c r="V4" i="1"/>
  <c r="V18" i="1" s="1"/>
  <c r="X40" i="2"/>
  <c r="Q11" i="1"/>
  <c r="R497" i="2"/>
  <c r="Y390" i="2"/>
  <c r="Y391" i="2" s="1"/>
  <c r="Y399" i="2"/>
  <c r="O354" i="2"/>
  <c r="O355" i="2" s="1"/>
  <c r="X325" i="2"/>
  <c r="T325" i="2"/>
  <c r="P317" i="2"/>
  <c r="V325" i="2"/>
  <c r="P326" i="2"/>
  <c r="M355" i="2"/>
  <c r="V326" i="2"/>
  <c r="X302" i="2"/>
  <c r="V302" i="2"/>
  <c r="P349" i="2"/>
  <c r="T349" i="2" s="1"/>
  <c r="T303" i="2"/>
  <c r="P193" i="2"/>
  <c r="R208" i="2"/>
  <c r="V208" i="2"/>
  <c r="T208" i="2"/>
  <c r="I361" i="2"/>
  <c r="T242" i="2"/>
  <c r="P220" i="2"/>
  <c r="P157" i="2"/>
  <c r="R156" i="2"/>
  <c r="T209" i="2"/>
  <c r="V291" i="2"/>
  <c r="V157" i="2"/>
  <c r="U164" i="2"/>
  <c r="P125" i="2"/>
  <c r="X125" i="2" s="1"/>
  <c r="X117" i="2"/>
  <c r="R117" i="2"/>
  <c r="P31" i="2"/>
  <c r="R42" i="2"/>
  <c r="V42" i="2"/>
  <c r="T42" i="2"/>
  <c r="J223" i="2"/>
  <c r="W260" i="2"/>
  <c r="W271" i="2"/>
  <c r="T229" i="2"/>
  <c r="S221" i="2"/>
  <c r="T117" i="2"/>
  <c r="Z280" i="2"/>
  <c r="Z281" i="2" s="1"/>
  <c r="Z270" i="2" s="1"/>
  <c r="Z262" i="2" s="1"/>
  <c r="Z5" i="2" s="1"/>
  <c r="Z16" i="2" s="1"/>
  <c r="W120" i="1"/>
  <c r="W76" i="1" s="1"/>
  <c r="W5" i="1" s="1"/>
  <c r="W19" i="1" s="1"/>
  <c r="Y268" i="2"/>
  <c r="T235" i="2"/>
  <c r="R29" i="2"/>
  <c r="Q32" i="2"/>
  <c r="Q22" i="2"/>
  <c r="M25" i="1"/>
  <c r="Q38" i="1"/>
  <c r="R78" i="1"/>
  <c r="S78" i="1" s="1"/>
  <c r="S75" i="1"/>
  <c r="S38" i="1"/>
  <c r="Z49" i="2"/>
  <c r="Z50" i="2"/>
  <c r="Z54" i="2" s="1"/>
  <c r="Z30" i="2" s="1"/>
  <c r="Z23" i="2" s="1"/>
  <c r="U38" i="1"/>
  <c r="W117" i="1"/>
  <c r="W75" i="1" s="1"/>
  <c r="W23" i="2"/>
  <c r="U4" i="2"/>
  <c r="Q260" i="2"/>
  <c r="Q271" i="2"/>
  <c r="P162" i="2"/>
  <c r="X176" i="2"/>
  <c r="T176" i="2"/>
  <c r="V156" i="2"/>
  <c r="U194" i="2"/>
  <c r="V191" i="2"/>
  <c r="T122" i="2"/>
  <c r="X122" i="2"/>
  <c r="T125" i="2"/>
  <c r="S22" i="2"/>
  <c r="S32" i="2"/>
  <c r="I4" i="2"/>
  <c r="I15" i="2" s="1"/>
  <c r="I264" i="2"/>
  <c r="N223" i="2"/>
  <c r="S76" i="1"/>
  <c r="R5" i="1"/>
  <c r="R3" i="1"/>
  <c r="Q6" i="2"/>
  <c r="P4" i="1"/>
  <c r="Y50" i="2"/>
  <c r="Y54" i="2" s="1"/>
  <c r="Y30" i="2" s="1"/>
  <c r="Y23" i="2" s="1"/>
  <c r="Y49" i="2"/>
  <c r="I25" i="2"/>
  <c r="F7" i="1"/>
  <c r="I32" i="2"/>
  <c r="P20" i="1"/>
  <c r="T7" i="1"/>
  <c r="U354" i="2"/>
  <c r="U355" i="2" s="1"/>
  <c r="Q463" i="2"/>
  <c r="Q453" i="2"/>
  <c r="S456" i="2"/>
  <c r="G354" i="2"/>
  <c r="G355" i="2" s="1"/>
  <c r="Y478" i="2"/>
  <c r="Y460" i="2"/>
  <c r="G361" i="2"/>
  <c r="W354" i="2"/>
  <c r="T435" i="2"/>
  <c r="Z261" i="2"/>
  <c r="T294" i="2"/>
  <c r="K360" i="2"/>
  <c r="K380" i="2"/>
  <c r="R326" i="2"/>
  <c r="X234" i="2"/>
  <c r="R242" i="2"/>
  <c r="P316" i="2"/>
  <c r="X390" i="2"/>
  <c r="W391" i="2"/>
  <c r="P191" i="2"/>
  <c r="T201" i="2"/>
  <c r="P209" i="2"/>
  <c r="X201" i="2"/>
  <c r="P247" i="2"/>
  <c r="P250" i="2" s="1"/>
  <c r="W194" i="2"/>
  <c r="R229" i="2"/>
  <c r="Q221" i="2"/>
  <c r="X66" i="2"/>
  <c r="T66" i="2"/>
  <c r="S24" i="2"/>
  <c r="T31" i="2"/>
  <c r="V242" i="2"/>
  <c r="G4" i="2"/>
  <c r="G15" i="2" s="1"/>
  <c r="Q23" i="2"/>
  <c r="V201" i="2"/>
  <c r="M32" i="2"/>
  <c r="M22" i="2"/>
  <c r="T49" i="2"/>
  <c r="T56" i="2"/>
  <c r="X56" i="2"/>
  <c r="X50" i="2"/>
  <c r="V50" i="2"/>
  <c r="R50" i="2"/>
  <c r="T50" i="2"/>
  <c r="P54" i="2"/>
  <c r="Q51" i="1"/>
  <c r="V78" i="1"/>
  <c r="J17" i="1"/>
  <c r="J21" i="1" s="1"/>
  <c r="J7" i="1"/>
  <c r="P17" i="1"/>
  <c r="P7" i="1"/>
  <c r="P19" i="1"/>
  <c r="Q19" i="1" s="1"/>
  <c r="T18" i="1"/>
  <c r="U136" i="1"/>
  <c r="S136" i="1"/>
  <c r="Q136" i="1"/>
  <c r="O136" i="1"/>
  <c r="P478" i="2"/>
  <c r="T478" i="2" s="1"/>
  <c r="P460" i="2"/>
  <c r="V470" i="2"/>
  <c r="V536" i="2"/>
  <c r="W427" i="2"/>
  <c r="X427" i="2" s="1"/>
  <c r="X426" i="2"/>
  <c r="W453" i="2"/>
  <c r="W463" i="2"/>
  <c r="I463" i="2"/>
  <c r="I453" i="2"/>
  <c r="I456" i="2" s="1"/>
  <c r="R410" i="2"/>
  <c r="Z460" i="2"/>
  <c r="Z478" i="2"/>
  <c r="U391" i="2"/>
  <c r="V391" i="2" s="1"/>
  <c r="V389" i="2"/>
  <c r="S427" i="2"/>
  <c r="T427" i="2" s="1"/>
  <c r="S353" i="2"/>
  <c r="T425" i="2"/>
  <c r="X275" i="2"/>
  <c r="R275" i="2"/>
  <c r="V275" i="2"/>
  <c r="T275" i="2"/>
  <c r="P276" i="2"/>
  <c r="P379" i="2"/>
  <c r="X378" i="2"/>
  <c r="V378" i="2"/>
  <c r="T378" i="2"/>
  <c r="R378" i="2"/>
  <c r="X291" i="2"/>
  <c r="L261" i="2"/>
  <c r="L4" i="2" s="1"/>
  <c r="L15" i="2" s="1"/>
  <c r="X209" i="2"/>
  <c r="X249" i="2"/>
  <c r="X156" i="2"/>
  <c r="R204" i="2"/>
  <c r="V204" i="2"/>
  <c r="T204" i="2"/>
  <c r="X204" i="2"/>
  <c r="X193" i="2"/>
  <c r="X410" i="2"/>
  <c r="K221" i="2"/>
  <c r="K223" i="2" s="1"/>
  <c r="T156" i="2"/>
  <c r="R270" i="2"/>
  <c r="Q262" i="2"/>
  <c r="X242" i="2"/>
  <c r="V249" i="2"/>
  <c r="T90" i="2"/>
  <c r="K271" i="2"/>
  <c r="K260" i="2"/>
  <c r="K264" i="2" s="1"/>
  <c r="N271" i="2"/>
  <c r="N260" i="2"/>
  <c r="N264" i="2" s="1"/>
  <c r="V209" i="2"/>
  <c r="X98" i="2"/>
  <c r="V49" i="2"/>
  <c r="K30" i="2"/>
  <c r="K23" i="2" s="1"/>
  <c r="J6" i="2"/>
  <c r="J17" i="2" s="1"/>
  <c r="H17" i="1"/>
  <c r="H21" i="1" s="1"/>
  <c r="H7" i="1"/>
  <c r="O76" i="1"/>
  <c r="N5" i="1"/>
  <c r="Z268" i="2"/>
  <c r="K319" i="2"/>
  <c r="V511" i="2"/>
  <c r="J622" i="2"/>
  <c r="J12" i="2"/>
  <c r="R537" i="2"/>
  <c r="Z391" i="2"/>
  <c r="Y508" i="2"/>
  <c r="Y511" i="2" s="1"/>
  <c r="Z505" i="2"/>
  <c r="Z508" i="2" s="1"/>
  <c r="Z511" i="2" s="1"/>
  <c r="Y521" i="2"/>
  <c r="Y9" i="2" s="1"/>
  <c r="P410" i="2"/>
  <c r="V409" i="2"/>
  <c r="O523" i="2"/>
  <c r="O9" i="2"/>
  <c r="O11" i="2" s="1"/>
  <c r="X435" i="2"/>
  <c r="X478" i="2"/>
  <c r="V422" i="2"/>
  <c r="W361" i="2"/>
  <c r="R470" i="2"/>
  <c r="R409" i="2"/>
  <c r="V435" i="2"/>
  <c r="X342" i="2"/>
  <c r="Z427" i="2"/>
  <c r="T370" i="2"/>
  <c r="P360" i="2"/>
  <c r="R360" i="2" s="1"/>
  <c r="N361" i="2"/>
  <c r="N353" i="2"/>
  <c r="N355" i="2" s="1"/>
  <c r="U319" i="2"/>
  <c r="U361" i="2"/>
  <c r="P391" i="2"/>
  <c r="R391" i="2" s="1"/>
  <c r="R389" i="2"/>
  <c r="P353" i="2"/>
  <c r="V353" i="2" s="1"/>
  <c r="V334" i="2"/>
  <c r="Z353" i="2"/>
  <c r="Z361" i="2"/>
  <c r="O260" i="2"/>
  <c r="O264" i="2" s="1"/>
  <c r="O271" i="2"/>
  <c r="X281" i="2"/>
  <c r="P270" i="2"/>
  <c r="X222" i="2"/>
  <c r="X157" i="2"/>
  <c r="V229" i="2"/>
  <c r="U221" i="2"/>
  <c r="K192" i="2"/>
  <c r="K194" i="2" s="1"/>
  <c r="K209" i="2"/>
  <c r="Q319" i="2"/>
  <c r="R125" i="2"/>
  <c r="V281" i="2"/>
  <c r="X208" i="2"/>
  <c r="Q261" i="2"/>
  <c r="V117" i="2"/>
  <c r="T98" i="2"/>
  <c r="V66" i="2"/>
  <c r="I261" i="2"/>
  <c r="K22" i="2"/>
  <c r="K32" i="2"/>
  <c r="L25" i="2"/>
  <c r="L3" i="2"/>
  <c r="W45" i="1"/>
  <c r="W3" i="1"/>
  <c r="S127" i="1"/>
  <c r="M13" i="1"/>
  <c r="M130" i="1"/>
  <c r="Q130" i="1" s="1"/>
  <c r="O127" i="1"/>
  <c r="P45" i="1"/>
  <c r="U127" i="1"/>
  <c r="U11" i="1"/>
  <c r="S57" i="1"/>
  <c r="M43" i="1"/>
  <c r="Q43" i="1" s="1"/>
  <c r="V627" i="2"/>
  <c r="P628" i="2"/>
  <c r="T627" i="2"/>
  <c r="P621" i="2"/>
  <c r="R627" i="2"/>
  <c r="X627" i="2"/>
  <c r="R521" i="2"/>
  <c r="Q9" i="2"/>
  <c r="O361" i="2"/>
  <c r="O391" i="2"/>
  <c r="R342" i="2"/>
  <c r="V318" i="2"/>
  <c r="R318" i="2"/>
  <c r="P263" i="2"/>
  <c r="T318" i="2"/>
  <c r="R291" i="2"/>
  <c r="R353" i="2"/>
  <c r="Q355" i="2"/>
  <c r="X318" i="2"/>
  <c r="L271" i="2"/>
  <c r="L260" i="2"/>
  <c r="L264" i="2" s="1"/>
  <c r="R371" i="2"/>
  <c r="P269" i="2"/>
  <c r="X279" i="2"/>
  <c r="T279" i="2"/>
  <c r="U271" i="2"/>
  <c r="R122" i="2"/>
  <c r="S271" i="2"/>
  <c r="X206" i="2"/>
  <c r="R279" i="2"/>
  <c r="W223" i="2"/>
  <c r="X220" i="2"/>
  <c r="P43" i="2"/>
  <c r="R43" i="2" s="1"/>
  <c r="R40" i="2"/>
  <c r="O32" i="2"/>
  <c r="O22" i="2"/>
  <c r="S23" i="2"/>
  <c r="M260" i="2"/>
  <c r="M264" i="2" s="1"/>
  <c r="Z125" i="2"/>
  <c r="P462" i="2"/>
  <c r="R462" i="2" s="1"/>
  <c r="X477" i="2"/>
  <c r="P161" i="2"/>
  <c r="V171" i="2"/>
  <c r="P179" i="2"/>
  <c r="X179" i="2" s="1"/>
  <c r="R171" i="2"/>
  <c r="R63" i="2"/>
  <c r="X63" i="2"/>
  <c r="V63" i="2"/>
  <c r="T63" i="2"/>
  <c r="R66" i="2"/>
  <c r="G271" i="2"/>
  <c r="O51" i="1"/>
  <c r="M42" i="1"/>
  <c r="T143" i="2"/>
  <c r="X143" i="2"/>
  <c r="V139" i="2"/>
  <c r="P144" i="2"/>
  <c r="X144" i="2" s="1"/>
  <c r="T139" i="2"/>
  <c r="R139" i="2"/>
  <c r="V45" i="1"/>
  <c r="V3" i="1"/>
  <c r="Q78" i="1"/>
  <c r="U130" i="1"/>
  <c r="S60" i="1"/>
  <c r="M44" i="1"/>
  <c r="O60" i="1"/>
  <c r="L7" i="1"/>
  <c r="V250" i="2" l="1"/>
  <c r="T250" i="2"/>
  <c r="X250" i="2"/>
  <c r="R250" i="2"/>
  <c r="J13" i="2"/>
  <c r="J16" i="2"/>
  <c r="X463" i="2"/>
  <c r="P453" i="2"/>
  <c r="V460" i="2"/>
  <c r="P463" i="2"/>
  <c r="T460" i="2"/>
  <c r="Q4" i="2"/>
  <c r="K354" i="2"/>
  <c r="K355" i="2" s="1"/>
  <c r="K361" i="2"/>
  <c r="Y29" i="2"/>
  <c r="Y57" i="2"/>
  <c r="T43" i="2"/>
  <c r="T317" i="2"/>
  <c r="X317" i="2"/>
  <c r="G25" i="2"/>
  <c r="G3" i="2"/>
  <c r="X43" i="2"/>
  <c r="N25" i="2"/>
  <c r="N3" i="2"/>
  <c r="P22" i="2"/>
  <c r="S5" i="2"/>
  <c r="H13" i="2"/>
  <c r="H16" i="2"/>
  <c r="R511" i="2"/>
  <c r="T511" i="2"/>
  <c r="P262" i="2"/>
  <c r="X270" i="2"/>
  <c r="V270" i="2"/>
  <c r="L7" i="2"/>
  <c r="L14" i="2"/>
  <c r="L18" i="2" s="1"/>
  <c r="R179" i="2"/>
  <c r="V179" i="2"/>
  <c r="X453" i="2"/>
  <c r="W456" i="2"/>
  <c r="Y4" i="2"/>
  <c r="Y15" i="2" s="1"/>
  <c r="Q264" i="2"/>
  <c r="Z29" i="2"/>
  <c r="Z57" i="2"/>
  <c r="Q25" i="2"/>
  <c r="Q3" i="2"/>
  <c r="T270" i="2"/>
  <c r="V461" i="2"/>
  <c r="P454" i="2"/>
  <c r="R461" i="2"/>
  <c r="X461" i="2"/>
  <c r="T461" i="2"/>
  <c r="Y354" i="2"/>
  <c r="Y355" i="2" s="1"/>
  <c r="Y361" i="2"/>
  <c r="M45" i="1"/>
  <c r="M3" i="1"/>
  <c r="Q42" i="1"/>
  <c r="U42" i="1"/>
  <c r="S42" i="1"/>
  <c r="O42" i="1"/>
  <c r="Z453" i="2"/>
  <c r="Z456" i="2" s="1"/>
  <c r="Z463" i="2"/>
  <c r="X460" i="2"/>
  <c r="T247" i="2"/>
  <c r="X247" i="2"/>
  <c r="V247" i="2"/>
  <c r="R247" i="2"/>
  <c r="P319" i="2"/>
  <c r="X319" i="2" s="1"/>
  <c r="R316" i="2"/>
  <c r="X316" i="2"/>
  <c r="S223" i="2"/>
  <c r="S129" i="1"/>
  <c r="M15" i="1"/>
  <c r="O129" i="1"/>
  <c r="U129" i="1"/>
  <c r="Q129" i="1"/>
  <c r="H264" i="2"/>
  <c r="H3" i="2"/>
  <c r="Y11" i="2"/>
  <c r="I16" i="1"/>
  <c r="I20" i="1"/>
  <c r="I21" i="1" s="1"/>
  <c r="I141" i="1" s="1"/>
  <c r="V29" i="2"/>
  <c r="P523" i="2"/>
  <c r="X523" i="2" s="1"/>
  <c r="P8" i="2"/>
  <c r="T520" i="2"/>
  <c r="V520" i="2"/>
  <c r="R520" i="2"/>
  <c r="T523" i="2"/>
  <c r="P9" i="2"/>
  <c r="V9" i="2" s="1"/>
  <c r="V521" i="2"/>
  <c r="T574" i="2"/>
  <c r="X574" i="2"/>
  <c r="R574" i="2"/>
  <c r="V574" i="2"/>
  <c r="T269" i="2"/>
  <c r="P261" i="2"/>
  <c r="X269" i="2"/>
  <c r="R263" i="2"/>
  <c r="V263" i="2"/>
  <c r="X263" i="2"/>
  <c r="T263" i="2"/>
  <c r="U15" i="2"/>
  <c r="P24" i="2"/>
  <c r="R31" i="2"/>
  <c r="Y523" i="2"/>
  <c r="V22" i="2"/>
  <c r="U25" i="2"/>
  <c r="U3" i="2"/>
  <c r="H4" i="2"/>
  <c r="H15" i="2" s="1"/>
  <c r="H25" i="2"/>
  <c r="R294" i="2"/>
  <c r="X294" i="2"/>
  <c r="S11" i="2"/>
  <c r="V478" i="2"/>
  <c r="V528" i="2"/>
  <c r="X528" i="2"/>
  <c r="M6" i="1"/>
  <c r="U44" i="1"/>
  <c r="Q44" i="1"/>
  <c r="S44" i="1"/>
  <c r="O44" i="1"/>
  <c r="S4" i="2"/>
  <c r="R9" i="2"/>
  <c r="Q11" i="2"/>
  <c r="O25" i="2"/>
  <c r="O3" i="2"/>
  <c r="R54" i="2"/>
  <c r="V54" i="2"/>
  <c r="T54" i="2"/>
  <c r="X54" i="2"/>
  <c r="Q456" i="2"/>
  <c r="R453" i="2"/>
  <c r="U43" i="1"/>
  <c r="O43" i="1"/>
  <c r="S43" i="1"/>
  <c r="V316" i="2"/>
  <c r="K4" i="2"/>
  <c r="K15" i="2" s="1"/>
  <c r="P380" i="2"/>
  <c r="T379" i="2"/>
  <c r="V379" i="2"/>
  <c r="R379" i="2"/>
  <c r="X379" i="2"/>
  <c r="T353" i="2"/>
  <c r="S355" i="2"/>
  <c r="R478" i="2"/>
  <c r="M3" i="2"/>
  <c r="M25" i="2"/>
  <c r="S6" i="2"/>
  <c r="X360" i="2"/>
  <c r="R460" i="2"/>
  <c r="Q17" i="2"/>
  <c r="T29" i="2"/>
  <c r="V194" i="2"/>
  <c r="V31" i="2"/>
  <c r="T179" i="2"/>
  <c r="V235" i="2"/>
  <c r="R235" i="2"/>
  <c r="X235" i="2"/>
  <c r="P221" i="2"/>
  <c r="X221" i="2" s="1"/>
  <c r="U264" i="2"/>
  <c r="X520" i="2"/>
  <c r="T521" i="2"/>
  <c r="X521" i="2"/>
  <c r="W9" i="2"/>
  <c r="X9" i="2" s="1"/>
  <c r="R628" i="2"/>
  <c r="T628" i="2"/>
  <c r="V628" i="2"/>
  <c r="X628" i="2"/>
  <c r="T360" i="2"/>
  <c r="P354" i="2"/>
  <c r="T354" i="2" s="1"/>
  <c r="P361" i="2"/>
  <c r="O130" i="1"/>
  <c r="S130" i="1"/>
  <c r="V221" i="2"/>
  <c r="U223" i="2"/>
  <c r="P455" i="2"/>
  <c r="V462" i="2"/>
  <c r="X462" i="2"/>
  <c r="T462" i="2"/>
  <c r="P30" i="2"/>
  <c r="P32" i="2" s="1"/>
  <c r="S13" i="1"/>
  <c r="M16" i="1"/>
  <c r="O13" i="1"/>
  <c r="U13" i="1"/>
  <c r="Q13" i="1"/>
  <c r="V319" i="2"/>
  <c r="R317" i="2"/>
  <c r="P282" i="2"/>
  <c r="V276" i="2"/>
  <c r="P268" i="2"/>
  <c r="R276" i="2"/>
  <c r="T276" i="2"/>
  <c r="X276" i="2"/>
  <c r="P21" i="1"/>
  <c r="X354" i="2"/>
  <c r="W355" i="2"/>
  <c r="R463" i="2"/>
  <c r="R17" i="1"/>
  <c r="S3" i="1"/>
  <c r="R7" i="1"/>
  <c r="O4" i="2"/>
  <c r="O15" i="2" s="1"/>
  <c r="W4" i="2"/>
  <c r="W264" i="2"/>
  <c r="R157" i="2"/>
  <c r="T157" i="2"/>
  <c r="T193" i="2"/>
  <c r="V193" i="2"/>
  <c r="R193" i="2"/>
  <c r="J25" i="2"/>
  <c r="J3" i="2"/>
  <c r="U6" i="2"/>
  <c r="V24" i="2"/>
  <c r="X29" i="2"/>
  <c r="T319" i="2"/>
  <c r="X31" i="2"/>
  <c r="R354" i="2"/>
  <c r="R422" i="2"/>
  <c r="T422" i="2"/>
  <c r="X551" i="2"/>
  <c r="P575" i="2"/>
  <c r="X497" i="2"/>
  <c r="V497" i="2"/>
  <c r="P355" i="2"/>
  <c r="R355" i="2" s="1"/>
  <c r="X353" i="2"/>
  <c r="P164" i="2"/>
  <c r="V161" i="2"/>
  <c r="R161" i="2"/>
  <c r="X161" i="2"/>
  <c r="T161" i="2"/>
  <c r="R269" i="2"/>
  <c r="V361" i="2"/>
  <c r="P18" i="1"/>
  <c r="Q4" i="1"/>
  <c r="T144" i="2"/>
  <c r="R144" i="2"/>
  <c r="V144" i="2"/>
  <c r="K3" i="2"/>
  <c r="K25" i="2"/>
  <c r="P622" i="2"/>
  <c r="P12" i="2"/>
  <c r="T621" i="2"/>
  <c r="X621" i="2"/>
  <c r="V621" i="2"/>
  <c r="R621" i="2"/>
  <c r="Z282" i="2"/>
  <c r="T391" i="2"/>
  <c r="Z260" i="2"/>
  <c r="Z264" i="2" s="1"/>
  <c r="Z271" i="2"/>
  <c r="P194" i="2"/>
  <c r="X194" i="2" s="1"/>
  <c r="X191" i="2"/>
  <c r="T191" i="2"/>
  <c r="R191" i="2"/>
  <c r="V360" i="2"/>
  <c r="I3" i="2"/>
  <c r="S3" i="2"/>
  <c r="S25" i="2"/>
  <c r="T22" i="2"/>
  <c r="W78" i="1"/>
  <c r="Y260" i="2"/>
  <c r="Y264" i="2" s="1"/>
  <c r="Y271" i="2"/>
  <c r="P223" i="2"/>
  <c r="X223" i="2" s="1"/>
  <c r="R220" i="2"/>
  <c r="V220" i="2"/>
  <c r="T220" i="2"/>
  <c r="X326" i="2"/>
  <c r="T326" i="2"/>
  <c r="W25" i="2"/>
  <c r="W3" i="2"/>
  <c r="X22" i="2"/>
  <c r="S264" i="2"/>
  <c r="V125" i="2"/>
  <c r="W6" i="2"/>
  <c r="V317" i="2"/>
  <c r="V550" i="2"/>
  <c r="R550" i="2"/>
  <c r="T550" i="2"/>
  <c r="T67" i="2"/>
  <c r="V67" i="2"/>
  <c r="X67" i="2"/>
  <c r="X550" i="2"/>
  <c r="V592" i="2"/>
  <c r="T592" i="2"/>
  <c r="R319" i="2"/>
  <c r="V17" i="1"/>
  <c r="V21" i="1" s="1"/>
  <c r="V7" i="1"/>
  <c r="W17" i="1"/>
  <c r="W21" i="1" s="1"/>
  <c r="W7" i="1"/>
  <c r="V410" i="2"/>
  <c r="T410" i="2"/>
  <c r="O5" i="1"/>
  <c r="N19" i="1"/>
  <c r="N7" i="1"/>
  <c r="R262" i="2"/>
  <c r="Q5" i="2"/>
  <c r="T21" i="1"/>
  <c r="R221" i="2"/>
  <c r="Q223" i="2"/>
  <c r="R223" i="2" s="1"/>
  <c r="X391" i="2"/>
  <c r="Y463" i="2"/>
  <c r="Y453" i="2"/>
  <c r="Y456" i="2" s="1"/>
  <c r="V354" i="2"/>
  <c r="R19" i="1"/>
  <c r="S19" i="1" s="1"/>
  <c r="S5" i="1"/>
  <c r="V43" i="2"/>
  <c r="R162" i="2"/>
  <c r="T162" i="2"/>
  <c r="X162" i="2"/>
  <c r="M26" i="1"/>
  <c r="M4" i="1"/>
  <c r="O25" i="1"/>
  <c r="U25" i="1"/>
  <c r="S25" i="1"/>
  <c r="Q25" i="1"/>
  <c r="V162" i="2"/>
  <c r="X349" i="2"/>
  <c r="R349" i="2"/>
  <c r="V192" i="2"/>
  <c r="R192" i="2"/>
  <c r="T192" i="2"/>
  <c r="T316" i="2"/>
  <c r="P57" i="2"/>
  <c r="V269" i="2"/>
  <c r="V614" i="2"/>
  <c r="R614" i="2"/>
  <c r="T614" i="2"/>
  <c r="Z354" i="2"/>
  <c r="Z355" i="2" s="1"/>
  <c r="V551" i="2"/>
  <c r="R32" i="2" l="1"/>
  <c r="T32" i="2"/>
  <c r="X32" i="2"/>
  <c r="V32" i="2"/>
  <c r="X57" i="2"/>
  <c r="V57" i="2"/>
  <c r="T57" i="2"/>
  <c r="R57" i="2"/>
  <c r="O19" i="1"/>
  <c r="N21" i="1"/>
  <c r="S7" i="2"/>
  <c r="S14" i="2"/>
  <c r="X12" i="2"/>
  <c r="P13" i="2"/>
  <c r="V12" i="2"/>
  <c r="T12" i="2"/>
  <c r="R12" i="2"/>
  <c r="T164" i="2"/>
  <c r="X164" i="2"/>
  <c r="R164" i="2"/>
  <c r="U17" i="2"/>
  <c r="R21" i="1"/>
  <c r="V455" i="2"/>
  <c r="X455" i="2"/>
  <c r="T455" i="2"/>
  <c r="S17" i="2"/>
  <c r="T8" i="2"/>
  <c r="V8" i="2"/>
  <c r="P11" i="2"/>
  <c r="V11" i="2" s="1"/>
  <c r="R8" i="2"/>
  <c r="R454" i="2"/>
  <c r="X454" i="2"/>
  <c r="T454" i="2"/>
  <c r="V454" i="2"/>
  <c r="R455" i="2"/>
  <c r="I14" i="2"/>
  <c r="I18" i="2" s="1"/>
  <c r="F141" i="1" s="1"/>
  <c r="I7" i="2"/>
  <c r="R622" i="2"/>
  <c r="T622" i="2"/>
  <c r="V622" i="2"/>
  <c r="X622" i="2"/>
  <c r="J14" i="2"/>
  <c r="J18" i="2" s="1"/>
  <c r="G141" i="1" s="1"/>
  <c r="J7" i="2"/>
  <c r="P271" i="2"/>
  <c r="P260" i="2"/>
  <c r="V268" i="2"/>
  <c r="T268" i="2"/>
  <c r="X268" i="2"/>
  <c r="R268" i="2"/>
  <c r="O16" i="1"/>
  <c r="S16" i="1"/>
  <c r="U16" i="1"/>
  <c r="V223" i="2"/>
  <c r="R11" i="2"/>
  <c r="V523" i="2"/>
  <c r="R523" i="2"/>
  <c r="M17" i="1"/>
  <c r="S17" i="1" s="1"/>
  <c r="M7" i="1"/>
  <c r="O3" i="1"/>
  <c r="U3" i="1"/>
  <c r="Q3" i="1"/>
  <c r="V164" i="2"/>
  <c r="M7" i="2"/>
  <c r="M14" i="2"/>
  <c r="M18" i="2" s="1"/>
  <c r="J141" i="1" s="1"/>
  <c r="T380" i="2"/>
  <c r="V380" i="2"/>
  <c r="X380" i="2"/>
  <c r="R380" i="2"/>
  <c r="M20" i="1"/>
  <c r="O6" i="1"/>
  <c r="S6" i="1"/>
  <c r="U6" i="1"/>
  <c r="Q6" i="1"/>
  <c r="P6" i="2"/>
  <c r="R24" i="2"/>
  <c r="T261" i="2"/>
  <c r="X261" i="2"/>
  <c r="U45" i="1"/>
  <c r="S45" i="1"/>
  <c r="O45" i="1"/>
  <c r="Q45" i="1"/>
  <c r="N14" i="2"/>
  <c r="N18" i="2" s="1"/>
  <c r="K141" i="1" s="1"/>
  <c r="N7" i="2"/>
  <c r="Z4" i="2"/>
  <c r="Z15" i="2" s="1"/>
  <c r="Q15" i="2"/>
  <c r="W14" i="2"/>
  <c r="W7" i="2"/>
  <c r="K7" i="2"/>
  <c r="K14" i="2"/>
  <c r="K18" i="2" s="1"/>
  <c r="H141" i="1" s="1"/>
  <c r="Q16" i="1"/>
  <c r="W15" i="2"/>
  <c r="V282" i="2"/>
  <c r="X282" i="2"/>
  <c r="R282" i="2"/>
  <c r="T282" i="2"/>
  <c r="X8" i="2"/>
  <c r="S15" i="1"/>
  <c r="U15" i="1"/>
  <c r="O15" i="1"/>
  <c r="Q15" i="1"/>
  <c r="Q7" i="2"/>
  <c r="Q14" i="2"/>
  <c r="V355" i="2"/>
  <c r="P23" i="2"/>
  <c r="P25" i="2" s="1"/>
  <c r="V30" i="2"/>
  <c r="R30" i="2"/>
  <c r="X30" i="2"/>
  <c r="T30" i="2"/>
  <c r="T355" i="2"/>
  <c r="S15" i="2"/>
  <c r="W11" i="2"/>
  <c r="X11" i="2" s="1"/>
  <c r="M18" i="1"/>
  <c r="Q18" i="1" s="1"/>
  <c r="S4" i="1"/>
  <c r="O4" i="1"/>
  <c r="U4" i="1"/>
  <c r="Q16" i="2"/>
  <c r="R5" i="2"/>
  <c r="X24" i="2"/>
  <c r="V575" i="2"/>
  <c r="T575" i="2"/>
  <c r="R575" i="2"/>
  <c r="X575" i="2"/>
  <c r="T361" i="2"/>
  <c r="R361" i="2"/>
  <c r="R261" i="2"/>
  <c r="X361" i="2"/>
  <c r="U14" i="2"/>
  <c r="U7" i="2"/>
  <c r="T223" i="2"/>
  <c r="R22" i="2"/>
  <c r="V261" i="2"/>
  <c r="G14" i="2"/>
  <c r="G18" i="2" s="1"/>
  <c r="D141" i="1" s="1"/>
  <c r="G7" i="2"/>
  <c r="V463" i="2"/>
  <c r="T463" i="2"/>
  <c r="X355" i="2"/>
  <c r="S26" i="1"/>
  <c r="Q26" i="1"/>
  <c r="O26" i="1"/>
  <c r="U26" i="1"/>
  <c r="W17" i="2"/>
  <c r="T194" i="2"/>
  <c r="R194" i="2"/>
  <c r="S7" i="1"/>
  <c r="T11" i="2"/>
  <c r="H14" i="2"/>
  <c r="H18" i="2" s="1"/>
  <c r="E141" i="1" s="1"/>
  <c r="H7" i="2"/>
  <c r="T221" i="2"/>
  <c r="S16" i="2"/>
  <c r="Y32" i="2"/>
  <c r="Y22" i="2"/>
  <c r="O7" i="1"/>
  <c r="T24" i="2"/>
  <c r="O14" i="2"/>
  <c r="O18" i="2" s="1"/>
  <c r="L141" i="1" s="1"/>
  <c r="O7" i="2"/>
  <c r="T9" i="2"/>
  <c r="Z22" i="2"/>
  <c r="Z32" i="2"/>
  <c r="P5" i="2"/>
  <c r="V262" i="2"/>
  <c r="X262" i="2"/>
  <c r="T262" i="2"/>
  <c r="P456" i="2"/>
  <c r="V453" i="2"/>
  <c r="T453" i="2"/>
  <c r="T25" i="2" l="1"/>
  <c r="X25" i="2"/>
  <c r="R25" i="2"/>
  <c r="V25" i="2"/>
  <c r="X5" i="2"/>
  <c r="P16" i="2"/>
  <c r="V5" i="2"/>
  <c r="T17" i="2"/>
  <c r="V17" i="2"/>
  <c r="Y25" i="2"/>
  <c r="Y3" i="2"/>
  <c r="Q18" i="2"/>
  <c r="P17" i="2"/>
  <c r="R17" i="2" s="1"/>
  <c r="R6" i="2"/>
  <c r="V6" i="2"/>
  <c r="V13" i="2"/>
  <c r="T13" i="2"/>
  <c r="X13" i="2"/>
  <c r="R13" i="2"/>
  <c r="P264" i="2"/>
  <c r="V260" i="2"/>
  <c r="X260" i="2"/>
  <c r="R260" i="2"/>
  <c r="T260" i="2"/>
  <c r="T5" i="2"/>
  <c r="R271" i="2"/>
  <c r="T271" i="2"/>
  <c r="X271" i="2"/>
  <c r="V271" i="2"/>
  <c r="P4" i="2"/>
  <c r="V23" i="2"/>
  <c r="R23" i="2"/>
  <c r="T23" i="2"/>
  <c r="X23" i="2"/>
  <c r="V456" i="2"/>
  <c r="T456" i="2"/>
  <c r="W18" i="2"/>
  <c r="S18" i="2"/>
  <c r="X6" i="2"/>
  <c r="U18" i="2"/>
  <c r="U7" i="1"/>
  <c r="Q7" i="1"/>
  <c r="X17" i="2"/>
  <c r="S18" i="1"/>
  <c r="O18" i="1"/>
  <c r="U18" i="1"/>
  <c r="U20" i="1"/>
  <c r="S20" i="1"/>
  <c r="O20" i="1"/>
  <c r="Q20" i="1"/>
  <c r="M21" i="1"/>
  <c r="U17" i="1"/>
  <c r="O17" i="1"/>
  <c r="Q17" i="1"/>
  <c r="N141" i="1"/>
  <c r="Z25" i="2"/>
  <c r="Z3" i="2"/>
  <c r="X456" i="2"/>
  <c r="R456" i="2"/>
  <c r="P3" i="2"/>
  <c r="T6" i="2"/>
  <c r="Z14" i="2" l="1"/>
  <c r="Z18" i="2" s="1"/>
  <c r="W141" i="1" s="1"/>
  <c r="Z7" i="2"/>
  <c r="T141" i="1"/>
  <c r="U21" i="1"/>
  <c r="Q21" i="1"/>
  <c r="O21" i="1"/>
  <c r="S21" i="1"/>
  <c r="X264" i="2"/>
  <c r="T264" i="2"/>
  <c r="V264" i="2"/>
  <c r="R264" i="2"/>
  <c r="X16" i="2"/>
  <c r="V16" i="2"/>
  <c r="R141" i="1"/>
  <c r="T16" i="2"/>
  <c r="P14" i="2"/>
  <c r="P7" i="2"/>
  <c r="V3" i="2"/>
  <c r="X3" i="2"/>
  <c r="T3" i="2"/>
  <c r="R3" i="2"/>
  <c r="P141" i="1"/>
  <c r="R16" i="2"/>
  <c r="Y14" i="2"/>
  <c r="Y18" i="2" s="1"/>
  <c r="V141" i="1" s="1"/>
  <c r="Y7" i="2"/>
  <c r="P15" i="2"/>
  <c r="V4" i="2"/>
  <c r="R4" i="2"/>
  <c r="X4" i="2"/>
  <c r="T4" i="2"/>
  <c r="P18" i="2" l="1"/>
  <c r="X14" i="2"/>
  <c r="T14" i="2"/>
  <c r="R14" i="2"/>
  <c r="V14" i="2"/>
  <c r="V15" i="2"/>
  <c r="X15" i="2"/>
  <c r="R15" i="2"/>
  <c r="T15" i="2"/>
  <c r="T7" i="2"/>
  <c r="V7" i="2"/>
  <c r="R7" i="2"/>
  <c r="X7" i="2"/>
  <c r="V18" i="2" l="1"/>
  <c r="X18" i="2"/>
  <c r="R18" i="2"/>
  <c r="T18" i="2"/>
  <c r="M141" i="1"/>
  <c r="O141" i="1" l="1"/>
  <c r="S141" i="1"/>
  <c r="Q141" i="1"/>
  <c r="U1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Matej Tabaček</author>
  </authors>
  <commentList>
    <comment ref="F447" authorId="0" shapeId="0" xr:uid="{00000000-0006-0000-0100-000001000000}">
      <text>
        <r>
          <rPr>
            <sz val="10"/>
            <rFont val="Arial"/>
            <family val="2"/>
            <charset val="238"/>
          </rPr>
          <t>Presun do 6.1.2</t>
        </r>
      </text>
    </comment>
  </commentList>
</comments>
</file>

<file path=xl/sharedStrings.xml><?xml version="1.0" encoding="utf-8"?>
<sst xmlns="http://schemas.openxmlformats.org/spreadsheetml/2006/main" count="2370" uniqueCount="370">
  <si>
    <t>SUMÁR PRÍJMOV</t>
  </si>
  <si>
    <t>2023 S</t>
  </si>
  <si>
    <t>2024 S</t>
  </si>
  <si>
    <t>2025 R</t>
  </si>
  <si>
    <t>2025 OS</t>
  </si>
  <si>
    <t>2026 R</t>
  </si>
  <si>
    <t>U1</t>
  </si>
  <si>
    <t>U2</t>
  </si>
  <si>
    <t>U3</t>
  </si>
  <si>
    <t>U4</t>
  </si>
  <si>
    <t>2026 U</t>
  </si>
  <si>
    <t>Č1</t>
  </si>
  <si>
    <t>P1</t>
  </si>
  <si>
    <t>Č2</t>
  </si>
  <si>
    <t>P2</t>
  </si>
  <si>
    <t>Č3</t>
  </si>
  <si>
    <t>P3</t>
  </si>
  <si>
    <t>Č4</t>
  </si>
  <si>
    <t>P4</t>
  </si>
  <si>
    <t>2027 R</t>
  </si>
  <si>
    <t>2028 R</t>
  </si>
  <si>
    <t>Zdroj krytia</t>
  </si>
  <si>
    <t>Dotácie</t>
  </si>
  <si>
    <t>Vlastné zdroje</t>
  </si>
  <si>
    <t>Iné zdroje</t>
  </si>
  <si>
    <t>Ostatné príjmy</t>
  </si>
  <si>
    <t>Bežné príjmy</t>
  </si>
  <si>
    <t>Kapitálové príjmy</t>
  </si>
  <si>
    <t>Finančné operácie</t>
  </si>
  <si>
    <t>Celkové príjmy</t>
  </si>
  <si>
    <t>DAŇOVÉ PRÍJMY</t>
  </si>
  <si>
    <t>Daňové príjmy - rozpis</t>
  </si>
  <si>
    <t>FK</t>
  </si>
  <si>
    <t>EK</t>
  </si>
  <si>
    <t>Názov</t>
  </si>
  <si>
    <t>PrD</t>
  </si>
  <si>
    <t>Výnos dane z príjmov</t>
  </si>
  <si>
    <t>Daň z pozemkov</t>
  </si>
  <si>
    <t>Daň zo stavieb</t>
  </si>
  <si>
    <t>Daň z bytov</t>
  </si>
  <si>
    <t>Daň za psa</t>
  </si>
  <si>
    <t>Daň za ubytovanie</t>
  </si>
  <si>
    <t>Daň za užívanie verejného priestranstva</t>
  </si>
  <si>
    <t>Daň za komunálne odpady a drobné stavebné odpady</t>
  </si>
  <si>
    <t>NEDAŇOVÉ PRÍJMY</t>
  </si>
  <si>
    <t>Štátne dotácie</t>
  </si>
  <si>
    <t>Nedaňové príjmy - rozpis</t>
  </si>
  <si>
    <t>PrN</t>
  </si>
  <si>
    <t>Iné nedaňové príjmy</t>
  </si>
  <si>
    <t>RO</t>
  </si>
  <si>
    <t>Príjmy ZŠsMŠ (RO)</t>
  </si>
  <si>
    <t>Príjmy z majetku</t>
  </si>
  <si>
    <t>Administratívne poplatky a iné platby</t>
  </si>
  <si>
    <t>Predaj majetku</t>
  </si>
  <si>
    <t>Úroky z vkladov</t>
  </si>
  <si>
    <t>V tom:</t>
  </si>
  <si>
    <t>Prenájom majetku</t>
  </si>
  <si>
    <t>Správne poplatky</t>
  </si>
  <si>
    <t>Vodné</t>
  </si>
  <si>
    <t>Poplatky DOS</t>
  </si>
  <si>
    <t>Poplatky DS</t>
  </si>
  <si>
    <t>Predaj dreva</t>
  </si>
  <si>
    <t>Prenájom hrobových miest</t>
  </si>
  <si>
    <t>Refundácia výdavkov</t>
  </si>
  <si>
    <t>Dobropisy</t>
  </si>
  <si>
    <t>Stravné zamestnanci</t>
  </si>
  <si>
    <t>GRANTY A TRANSFERY</t>
  </si>
  <si>
    <t>Granty a transfery - rozpis</t>
  </si>
  <si>
    <t>GaT</t>
  </si>
  <si>
    <t>ZŠ granty (RO)</t>
  </si>
  <si>
    <t>ZŠ normatívne</t>
  </si>
  <si>
    <t>ZŠ nenormatívne</t>
  </si>
  <si>
    <t>ZŠ ÚPSVaR</t>
  </si>
  <si>
    <t>ZŠ NIVAM ESF</t>
  </si>
  <si>
    <t>ZŠ MVSR UA</t>
  </si>
  <si>
    <t>MŠ normatív</t>
  </si>
  <si>
    <t>MŠ nenormatívne</t>
  </si>
  <si>
    <t>Prídavky na deti</t>
  </si>
  <si>
    <t>DOS</t>
  </si>
  <si>
    <t>Denný stacionár</t>
  </si>
  <si>
    <t>Regionálny rozvoj ESF</t>
  </si>
  <si>
    <t>Energodotácie</t>
  </si>
  <si>
    <t>Ubytovanie utečenci</t>
  </si>
  <si>
    <t>Migračné výzvy</t>
  </si>
  <si>
    <t>Odmeny 800 €/Krytie inflácie/Výpadok DP</t>
  </si>
  <si>
    <t>Defibrilátor – náplne</t>
  </si>
  <si>
    <t>Stavebný úrad</t>
  </si>
  <si>
    <t>Cestná doprava</t>
  </si>
  <si>
    <t>Životné prostredie</t>
  </si>
  <si>
    <t>Matrika</t>
  </si>
  <si>
    <t>Register obyvateľstva</t>
  </si>
  <si>
    <t>Civilná obrana</t>
  </si>
  <si>
    <t>Voľby</t>
  </si>
  <si>
    <t>ZŠ kotolňa/zateplenie</t>
  </si>
  <si>
    <t>ZŠ REO Nesluša (rýchle energetické opatrenia – telocvičňa)</t>
  </si>
  <si>
    <t>MŠ fotovoltika</t>
  </si>
  <si>
    <t>Nákup malotraktora v obci Nesluša</t>
  </si>
  <si>
    <t>Triedený zber Dolných Kysúc</t>
  </si>
  <si>
    <t>Vodozádržné obecný úrad</t>
  </si>
  <si>
    <t>Stacionárne zariadenie</t>
  </si>
  <si>
    <t>Detské ihriská</t>
  </si>
  <si>
    <t>Zavedenie množstvového zberu KO</t>
  </si>
  <si>
    <t>Podpora udržateľnej mobility</t>
  </si>
  <si>
    <t>Úpravovňa VDJ Dúbravy</t>
  </si>
  <si>
    <t>Zdroj kytia</t>
  </si>
  <si>
    <t>Granty</t>
  </si>
  <si>
    <t>Granty (RO)</t>
  </si>
  <si>
    <t>PRÍJMOVÉ FINANČNÉ OPERÁCIE</t>
  </si>
  <si>
    <t>Nevyčerpané dotácie</t>
  </si>
  <si>
    <t>Zostatky zábezpeky</t>
  </si>
  <si>
    <t>Zostatky vlastné zdroje</t>
  </si>
  <si>
    <t>Zostatky ostatné príjmy</t>
  </si>
  <si>
    <t>Rezervný fond</t>
  </si>
  <si>
    <t>Prijaté zábezpeky</t>
  </si>
  <si>
    <t>ROZDIEL PRÍJMOV A VÝDAJOV</t>
  </si>
  <si>
    <t>Rezervný fond (nezapojený)</t>
  </si>
  <si>
    <t>Pr</t>
  </si>
  <si>
    <t>Po</t>
  </si>
  <si>
    <t>Pv</t>
  </si>
  <si>
    <t>SUMÁR VÝDAVKOV</t>
  </si>
  <si>
    <t>Bežné výdavky</t>
  </si>
  <si>
    <t>Kapitálové výdavky</t>
  </si>
  <si>
    <t>Celkové výdavky</t>
  </si>
  <si>
    <t>PROGRAM 1 - SAMOSPRÁVA</t>
  </si>
  <si>
    <t>Podprogram 1.1 Obecný úrad</t>
  </si>
  <si>
    <t>Prvok 1.1.1 Vedenie obce</t>
  </si>
  <si>
    <t>01.1.1</t>
  </si>
  <si>
    <t>Mzdy</t>
  </si>
  <si>
    <t>Odvody</t>
  </si>
  <si>
    <t>Tovary a služby</t>
  </si>
  <si>
    <t>Transfery</t>
  </si>
  <si>
    <t>Prvok 1.1.2 Personál</t>
  </si>
  <si>
    <t>Štátna dotácia</t>
  </si>
  <si>
    <t>Prvok 1.1.3 Vnútorná kontrola</t>
  </si>
  <si>
    <t>01.1.2</t>
  </si>
  <si>
    <t>Prvok 1.1.4 Služby a kancelárske vybavenie</t>
  </si>
  <si>
    <t>Bankové poplatky</t>
  </si>
  <si>
    <t>Poštovné</t>
  </si>
  <si>
    <t>Právne služby</t>
  </si>
  <si>
    <t>Softvér (URBIS)</t>
  </si>
  <si>
    <t>ESMAO/DCOM</t>
  </si>
  <si>
    <t>Žiadosti o dotácie/obstáravanie</t>
  </si>
  <si>
    <t>Prvok 1.1.5 Prevádzka</t>
  </si>
  <si>
    <t>Elektrina</t>
  </si>
  <si>
    <t>Plyn</t>
  </si>
  <si>
    <t>Poistenie automobilov</t>
  </si>
  <si>
    <t>Servis automobilov a strojov</t>
  </si>
  <si>
    <t>Pohonné hmoty</t>
  </si>
  <si>
    <t>Prvok 1.1.6 Informačný systém (web a rozhlas)</t>
  </si>
  <si>
    <t>08.3.0</t>
  </si>
  <si>
    <t>Prvok 1.1.7 Matrika a evidencia obyvateľstva</t>
  </si>
  <si>
    <t>01.3.3</t>
  </si>
  <si>
    <t>Podprogram 1.2 Spoločný obecný úrad</t>
  </si>
  <si>
    <t>09.1.2.1</t>
  </si>
  <si>
    <t>Školský metodik</t>
  </si>
  <si>
    <t>Podprogram 1.3 Správa a údržba majetku</t>
  </si>
  <si>
    <t>04.2.2</t>
  </si>
  <si>
    <t>Lesy</t>
  </si>
  <si>
    <t>Ťažba, výsadba</t>
  </si>
  <si>
    <t>Geometrické plány</t>
  </si>
  <si>
    <t>Podprogram 1.4 Voľby</t>
  </si>
  <si>
    <t>01.6.0</t>
  </si>
  <si>
    <t>PROGRAM 2 - ŠKOLSTVO</t>
  </si>
  <si>
    <t>Podprogram 2.1 Základná škola s materskou školou</t>
  </si>
  <si>
    <t>09.x</t>
  </si>
  <si>
    <t>Dotácie kohézny fond/plán obnovy</t>
  </si>
  <si>
    <t>09.1.x</t>
  </si>
  <si>
    <t>111/AC/PO</t>
  </si>
  <si>
    <t>09.2.x</t>
  </si>
  <si>
    <t>09.6.x</t>
  </si>
  <si>
    <t>Originálne kompetencie</t>
  </si>
  <si>
    <t>Elektrina MŠ</t>
  </si>
  <si>
    <t>Plyn MŠ</t>
  </si>
  <si>
    <t>Elektrina ŠJ</t>
  </si>
  <si>
    <t>Plyn ŠJ</t>
  </si>
  <si>
    <t>Oprava zelenej strechy MŠ</t>
  </si>
  <si>
    <t>Externý manažment vodozádržné/zateplenie VO a žiadosť/vratka</t>
  </si>
  <si>
    <t>Nevyčerpaná dotácia zateplenie ZŠ</t>
  </si>
  <si>
    <t>PROGRAM 3 - VODA</t>
  </si>
  <si>
    <t>Podprogram 3.1 Verejný vodovod</t>
  </si>
  <si>
    <t>06.3.0</t>
  </si>
  <si>
    <t>Údržba vodovodu</t>
  </si>
  <si>
    <t>Prevádzkovanie vodovodu</t>
  </si>
  <si>
    <t>Odber podzemnej vody</t>
  </si>
  <si>
    <t>Žiadosť o dotáciu</t>
  </si>
  <si>
    <t>PROGRAM 4 - ODPADOVÉ HOSPODÁRSTVO A ŽIVOTNÉ PROSTREDIE</t>
  </si>
  <si>
    <t>Podprogram 4.1 Komunálny odpad</t>
  </si>
  <si>
    <t>05.1.0</t>
  </si>
  <si>
    <t>Podprogram 4.2 Separovaný zber</t>
  </si>
  <si>
    <t>Podprogram 4.3 Zberný dvor</t>
  </si>
  <si>
    <t>Poistenie budovy a techniky</t>
  </si>
  <si>
    <t>Údržba dopravných prostriedkov a strojov</t>
  </si>
  <si>
    <t>Vrátenie dotácie – porušenie zmluvy</t>
  </si>
  <si>
    <t>PROGRAM 5 - PROSTREDIE PRE ŽIVOT</t>
  </si>
  <si>
    <t>Podprogram 5.1 Bezpečnosť</t>
  </si>
  <si>
    <t>Prvok 5.1.1 Protipožiarna ochrana</t>
  </si>
  <si>
    <t>03.2.0</t>
  </si>
  <si>
    <t>Prvok 5.1.2 Civilná obrana</t>
  </si>
  <si>
    <t>02.2.0</t>
  </si>
  <si>
    <t>Prvok 5.1.3 Verejné osvetlenie</t>
  </si>
  <si>
    <t>06.4.0</t>
  </si>
  <si>
    <t>Dohoda údržbár</t>
  </si>
  <si>
    <t>Prvok 5.1.4 Prevencia kriminality</t>
  </si>
  <si>
    <t>03.6.0</t>
  </si>
  <si>
    <t>Podprogram 5.2 Komunikácie a verejné priestranstvá</t>
  </si>
  <si>
    <t>111/1AC</t>
  </si>
  <si>
    <t>Prvok 5.2.1 Miestne komunikácie</t>
  </si>
  <si>
    <t>04.5.1</t>
  </si>
  <si>
    <t>Prvok 5.2.2 Verejné priestranstvá</t>
  </si>
  <si>
    <t>06.2.0</t>
  </si>
  <si>
    <t>Elektrina centrum</t>
  </si>
  <si>
    <t>Prvok 5.2.3 Regionálny rozvoj</t>
  </si>
  <si>
    <t>PROGRAM 6 - ŠPORT, KULTÚRA A INÉ SPOLOČENSKÉ SLUŽBY</t>
  </si>
  <si>
    <t>Podprogram 6.1 Šport</t>
  </si>
  <si>
    <t>Prvok 6.1.1 Futbalový klub</t>
  </si>
  <si>
    <t>08.1.0</t>
  </si>
  <si>
    <t>Dohoda správca</t>
  </si>
  <si>
    <t>Prvok 6.1.2 Ostatné športové kluby</t>
  </si>
  <si>
    <t>Šachový klub</t>
  </si>
  <si>
    <t>Športovec roka</t>
  </si>
  <si>
    <t>Priatelia Kysúc</t>
  </si>
  <si>
    <t>OZ Bajk Relax Kysuce</t>
  </si>
  <si>
    <t>Podprogram 6.2 Kultúra</t>
  </si>
  <si>
    <t>Prvok 6.2.1 Kultúrny dom</t>
  </si>
  <si>
    <t>08.2.0</t>
  </si>
  <si>
    <t>Prvok 6.2.2 Kultúrne akcie</t>
  </si>
  <si>
    <t>Rocknes</t>
  </si>
  <si>
    <t>Osobnosť Kysúc, Letné kino, Kysucká knižnica</t>
  </si>
  <si>
    <t>Kultúrne soboty</t>
  </si>
  <si>
    <t>Hody a iné podujatia</t>
  </si>
  <si>
    <t>Prvok 6.2.3 Knižnica</t>
  </si>
  <si>
    <t>Podprogram 6.3 Iné služby</t>
  </si>
  <si>
    <t>Prvok 6.3.1 Pohrebná služby</t>
  </si>
  <si>
    <t>08.4.0</t>
  </si>
  <si>
    <t>Pohrebná služba</t>
  </si>
  <si>
    <t>Prvok 6.3.2 Náboženské a spoločenské spolky a združenia</t>
  </si>
  <si>
    <t>SO SZTP a ZPCCH</t>
  </si>
  <si>
    <t>Jednota dôchodcov</t>
  </si>
  <si>
    <t>SZ sklerózy multiplex</t>
  </si>
  <si>
    <t>PROGRAM 7 - SOLIDARITA</t>
  </si>
  <si>
    <t>Podprogram 7.1 Staroba</t>
  </si>
  <si>
    <t>Prvok 7.1.1 Dom opatrovateľskej služby</t>
  </si>
  <si>
    <t>10.2.0</t>
  </si>
  <si>
    <t>Stravné obyvatelia</t>
  </si>
  <si>
    <t>Prvok 7.1.2 Denný stacionár</t>
  </si>
  <si>
    <t>Jubilanti/deň úcty</t>
  </si>
  <si>
    <t>Podprogram 7.2 Rodina a hmotná núdza</t>
  </si>
  <si>
    <t>10.4.0</t>
  </si>
  <si>
    <t>10.7.0</t>
  </si>
  <si>
    <t>111/11UA</t>
  </si>
  <si>
    <t>Príspevok pri narodení dieťaťa</t>
  </si>
  <si>
    <t>Vratka dotácie na stravu</t>
  </si>
  <si>
    <t>PROGRAM 8 - INVESTÍCIE</t>
  </si>
  <si>
    <t>Podprogram 8.1 Samospráva</t>
  </si>
  <si>
    <t>01.1.1-710</t>
  </si>
  <si>
    <t>Kúpa pozemku</t>
  </si>
  <si>
    <t>Podprogram 8.2 Školstvo</t>
  </si>
  <si>
    <t>09.x-710</t>
  </si>
  <si>
    <t>MŠ – fotovoltika</t>
  </si>
  <si>
    <t>ZŠ – vstupná rampa</t>
  </si>
  <si>
    <t>ZŠ – debarierizácia</t>
  </si>
  <si>
    <t>ZŠ – tréningové ihrisko</t>
  </si>
  <si>
    <t>ZŠ – zateplenie školy</t>
  </si>
  <si>
    <t>ZŠ – rýchle energetické opatrenia</t>
  </si>
  <si>
    <t>Podprogram 8.3 Voda</t>
  </si>
  <si>
    <t>06.3.0-710</t>
  </si>
  <si>
    <t>Projekt vodovodu trasa ZŠ – Červené</t>
  </si>
  <si>
    <t>Rekonštrukcia vodovodu</t>
  </si>
  <si>
    <t>Úpravovňa vody Dúbravy</t>
  </si>
  <si>
    <t>Podprogram 8.4 Odpadové hospodárstvo</t>
  </si>
  <si>
    <t>05.1.0-710</t>
  </si>
  <si>
    <t>BRKO – malotraktor s vlečkou</t>
  </si>
  <si>
    <t>BRKO – auto na kompost, kontajnery</t>
  </si>
  <si>
    <t>BRKO – odpadové nádoby/kosačka</t>
  </si>
  <si>
    <t>05.2.0-710</t>
  </si>
  <si>
    <t>Kanalizácia – prepojenie Radovka/kamienková ulica</t>
  </si>
  <si>
    <t>Podprogram 8.5 Prostredie pre život</t>
  </si>
  <si>
    <t>04.5.1-710</t>
  </si>
  <si>
    <t>Asfaltovanie miestnych komunikácií</t>
  </si>
  <si>
    <t>Rozvoj udržateľnej mobility</t>
  </si>
  <si>
    <t>06.2.0-710</t>
  </si>
  <si>
    <t>Regulácia potoka – projekt, obstarávanie</t>
  </si>
  <si>
    <t>Regulácia potoka – realizácia</t>
  </si>
  <si>
    <t>Vodozádržné opatrenia pri obecnom úrade</t>
  </si>
  <si>
    <t>Detské ihrisko v centre</t>
  </si>
  <si>
    <t>06.4.0-710</t>
  </si>
  <si>
    <t>Verejné osvetlenie/vianočné osvetlenie</t>
  </si>
  <si>
    <t>03.6.0-710</t>
  </si>
  <si>
    <t>Kamerový systém</t>
  </si>
  <si>
    <t>Podprogram 8.6 Šport, kultúra a iné spoločenské služby</t>
  </si>
  <si>
    <t>08.1.0-710</t>
  </si>
  <si>
    <t>Rekonštrukcia tribúny</t>
  </si>
  <si>
    <t>Oplotenie športového areálu</t>
  </si>
  <si>
    <t>Tréningové ihrisko/zavlažovanie</t>
  </si>
  <si>
    <t>08.2.0-710</t>
  </si>
  <si>
    <t>Renovácia kultúrneho domu</t>
  </si>
  <si>
    <t>08.4.0-710</t>
  </si>
  <si>
    <t>Ozvučenie domu smútku</t>
  </si>
  <si>
    <t>Podprogram 8.7 Solidarita</t>
  </si>
  <si>
    <t>3P01</t>
  </si>
  <si>
    <t>Plán obnovy</t>
  </si>
  <si>
    <t>10.2.0-710</t>
  </si>
  <si>
    <t>Projekt stacionárneho zariadenia</t>
  </si>
  <si>
    <t>Osobný automobil pre sociálne služby</t>
  </si>
  <si>
    <t>Ke</t>
  </si>
  <si>
    <t>Podprogram 8.8 Plánovanie</t>
  </si>
  <si>
    <t>04.4.3-710</t>
  </si>
  <si>
    <t>Dodatok k územnému plánu</t>
  </si>
  <si>
    <t>PROGRAM 9 - VYROVNANIE DLHU</t>
  </si>
  <si>
    <t>Podprogram 9.1 Splácanie úverov a prijatých zábezpek</t>
  </si>
  <si>
    <t>Iné výdavkové operácie</t>
  </si>
  <si>
    <t>#</t>
  </si>
  <si>
    <t>číslo štvrťroku</t>
  </si>
  <si>
    <t>Skutočnosť v roku 2023</t>
  </si>
  <si>
    <t>Skutočnosť v roku 2024</t>
  </si>
  <si>
    <t>Schválený rozpočet na rok 2025</t>
  </si>
  <si>
    <t>Odhad skutočnosti v roku 2025</t>
  </si>
  <si>
    <t>Rozpočet na rok 2026</t>
  </si>
  <si>
    <t>Rozpočet na rok 2027</t>
  </si>
  <si>
    <t>Rozpočet na rok 2028</t>
  </si>
  <si>
    <t>BRKO</t>
  </si>
  <si>
    <t>biologicky rozložiteľný komunálny odpad</t>
  </si>
  <si>
    <t>CVČ</t>
  </si>
  <si>
    <t>centrum voľného času</t>
  </si>
  <si>
    <t>Č#</t>
  </si>
  <si>
    <t>čerpanie v kvartáli # v eurách</t>
  </si>
  <si>
    <t>DCOM</t>
  </si>
  <si>
    <t>Dátové centrum obcí a miest (e-gov)</t>
  </si>
  <si>
    <t>Dom opatrovateľskej služby</t>
  </si>
  <si>
    <t>ekonomická klasifikácia</t>
  </si>
  <si>
    <t>ESF</t>
  </si>
  <si>
    <t>Európsky sociálny fond</t>
  </si>
  <si>
    <t>ESMAO</t>
  </si>
  <si>
    <t>Elektronické služby miest a obcí</t>
  </si>
  <si>
    <t>funkčná klasifikácia</t>
  </si>
  <si>
    <t>granty a transfery</t>
  </si>
  <si>
    <t>MŠ</t>
  </si>
  <si>
    <t>Materská škola Nesluša</t>
  </si>
  <si>
    <t>MVSR</t>
  </si>
  <si>
    <t>Ministerstvo vnútra Slovenskej republiky</t>
  </si>
  <si>
    <t>NIVAM</t>
  </si>
  <si>
    <t>Národný inštitút vzdelávania a mládeže</t>
  </si>
  <si>
    <t>P#</t>
  </si>
  <si>
    <t>plnenie v kvartáli # v percentách</t>
  </si>
  <si>
    <t>program</t>
  </si>
  <si>
    <t>daňové príjmy</t>
  </si>
  <si>
    <t>nedaňové príjmy</t>
  </si>
  <si>
    <t>podprogram</t>
  </si>
  <si>
    <t>prvok</t>
  </si>
  <si>
    <t>REO</t>
  </si>
  <si>
    <t>rýchle energetické opatrenia</t>
  </si>
  <si>
    <t>účtované v účtovníctve rozpočtovej organizácie Základná škola Nesluša</t>
  </si>
  <si>
    <t>Spojená organizácia Slovenského zväzu telesne postihnutých a Zväzu postihnutých</t>
  </si>
  <si>
    <t>civilizačnými chorobami</t>
  </si>
  <si>
    <t>SZP</t>
  </si>
  <si>
    <t>sociálne znevýhodnené prostredie</t>
  </si>
  <si>
    <t>ŠJ</t>
  </si>
  <si>
    <t>školská jedáleň</t>
  </si>
  <si>
    <t>U#</t>
  </si>
  <si>
    <t>úpravy v kvartáli #</t>
  </si>
  <si>
    <t>UA</t>
  </si>
  <si>
    <t>Ukrajina</t>
  </si>
  <si>
    <t>ÚPSVaR</t>
  </si>
  <si>
    <t>Úrad práce, sociálnych vecí a rodiny SR</t>
  </si>
  <si>
    <t>URBIS</t>
  </si>
  <si>
    <t>informačný systém (účtovníctvo, administratíva, evidencie, dane...)</t>
  </si>
  <si>
    <t>VDJ</t>
  </si>
  <si>
    <t>vodojem</t>
  </si>
  <si>
    <t>ZŠ</t>
  </si>
  <si>
    <t>Základná škola Nesluša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</si>
</sst>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1B];[Red]\-#,##0.00\ [$€-41B]"/>
    <numFmt numFmtId="165" formatCode="0\ %"/>
    <numFmt numFmtId="166" formatCode="dd/mm/yyyy"/>
    <numFmt numFmtId="167" formatCode="0.00\ %"/>
  </numFmts>
  <fonts count="8" x14ac:knownFonts="1">
    <font>
      <sz val="11"/>
      <color rgb="FF000000"/>
      <name val="Calibri"/>
      <charset val="238"/>
    </font>
    <font>
      <b/>
      <i/>
      <u/>
      <sz val="11"/>
      <color rgb="FF000000"/>
      <name val="Calibri"/>
      <charset val="238"/>
    </font>
    <font>
      <sz val="11"/>
      <color rgb="FF00000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70AD47"/>
        <bgColor rgb="FF339966"/>
      </patternFill>
    </fill>
    <fill>
      <patternFill patternType="solid">
        <fgColor rgb="FFFFF2CC"/>
        <bgColor rgb="FFE2EFDA"/>
      </patternFill>
    </fill>
    <fill>
      <patternFill patternType="solid">
        <fgColor rgb="FFA9D08E"/>
        <bgColor rgb="FFC6E0B4"/>
      </patternFill>
    </fill>
    <fill>
      <patternFill patternType="solid">
        <fgColor rgb="FFFFFF00"/>
        <bgColor rgb="FFFFFF00"/>
      </patternFill>
    </fill>
    <fill>
      <patternFill patternType="solid">
        <fgColor rgb="FFC6E0B4"/>
        <bgColor rgb="FFE2EFDA"/>
      </patternFill>
    </fill>
    <fill>
      <patternFill patternType="solid">
        <fgColor rgb="FFE2EFDA"/>
        <bgColor rgb="FFFFF2CC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 applyBorder="0" applyProtection="0"/>
  </cellStyleXfs>
  <cellXfs count="191">
    <xf numFmtId="0" fontId="0" fillId="0" borderId="0" xfId="0"/>
    <xf numFmtId="0" fontId="3" fillId="0" borderId="21" xfId="0" applyFont="1" applyBorder="1" applyAlignment="1">
      <alignment vertical="center"/>
    </xf>
    <xf numFmtId="0" fontId="3" fillId="5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7" borderId="0" xfId="0" applyFont="1" applyFill="1" applyAlignment="1"/>
    <xf numFmtId="0" fontId="4" fillId="6" borderId="0" xfId="0" applyFont="1" applyFill="1" applyAlignment="1"/>
    <xf numFmtId="0" fontId="3" fillId="5" borderId="1" xfId="0" applyFont="1" applyFill="1" applyBorder="1" applyAlignment="1">
      <alignment horizontal="center" vertical="center"/>
    </xf>
    <xf numFmtId="0" fontId="4" fillId="4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165" fontId="3" fillId="0" borderId="0" xfId="0" applyNumberFormat="1" applyFont="1"/>
    <xf numFmtId="0" fontId="4" fillId="2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165" fontId="3" fillId="3" borderId="0" xfId="0" applyNumberFormat="1" applyFont="1" applyFill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65" fontId="4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4" fillId="4" borderId="0" xfId="0" applyFont="1" applyFill="1" applyAlignment="1"/>
    <xf numFmtId="165" fontId="4" fillId="4" borderId="0" xfId="0" applyNumberFormat="1" applyFont="1" applyFill="1" applyAlignment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4" fontId="3" fillId="5" borderId="1" xfId="0" applyNumberFormat="1" applyFont="1" applyFill="1" applyBorder="1"/>
    <xf numFmtId="165" fontId="3" fillId="5" borderId="1" xfId="0" applyNumberFormat="1" applyFont="1" applyFill="1" applyBorder="1"/>
    <xf numFmtId="0" fontId="4" fillId="5" borderId="1" xfId="0" applyFont="1" applyFill="1" applyBorder="1"/>
    <xf numFmtId="4" fontId="4" fillId="5" borderId="1" xfId="0" applyNumberFormat="1" applyFont="1" applyFill="1" applyBorder="1"/>
    <xf numFmtId="165" fontId="4" fillId="5" borderId="1" xfId="0" applyNumberFormat="1" applyFont="1" applyFill="1" applyBorder="1"/>
    <xf numFmtId="0" fontId="4" fillId="6" borderId="0" xfId="0" applyFont="1" applyFill="1" applyAlignment="1"/>
    <xf numFmtId="165" fontId="4" fillId="6" borderId="0" xfId="0" applyNumberFormat="1" applyFont="1" applyFill="1" applyAlignment="1"/>
    <xf numFmtId="0" fontId="3" fillId="0" borderId="1" xfId="0" applyFont="1" applyBorder="1" applyAlignment="1">
      <alignment vertical="center"/>
    </xf>
    <xf numFmtId="0" fontId="4" fillId="0" borderId="0" xfId="0" applyFont="1"/>
    <xf numFmtId="4" fontId="3" fillId="0" borderId="1" xfId="0" applyNumberFormat="1" applyFont="1" applyBorder="1"/>
    <xf numFmtId="165" fontId="3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165" fontId="5" fillId="0" borderId="1" xfId="0" applyNumberFormat="1" applyFont="1" applyBorder="1"/>
    <xf numFmtId="14" fontId="3" fillId="0" borderId="1" xfId="0" applyNumberFormat="1" applyFont="1" applyBorder="1" applyAlignment="1">
      <alignment vertical="center"/>
    </xf>
    <xf numFmtId="0" fontId="3" fillId="0" borderId="5" xfId="0" applyFont="1" applyBorder="1"/>
    <xf numFmtId="4" fontId="3" fillId="0" borderId="2" xfId="0" applyNumberFormat="1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4" fontId="3" fillId="0" borderId="3" xfId="0" applyNumberFormat="1" applyFont="1" applyBorder="1"/>
    <xf numFmtId="0" fontId="3" fillId="0" borderId="6" xfId="0" applyFont="1" applyBorder="1"/>
    <xf numFmtId="0" fontId="3" fillId="0" borderId="0" xfId="0" applyFont="1"/>
    <xf numFmtId="4" fontId="3" fillId="0" borderId="0" xfId="0" applyNumberFormat="1" applyFont="1"/>
    <xf numFmtId="165" fontId="3" fillId="0" borderId="7" xfId="0" applyNumberFormat="1" applyFont="1" applyBorder="1"/>
    <xf numFmtId="4" fontId="3" fillId="0" borderId="7" xfId="0" applyNumberFormat="1" applyFont="1" applyBorder="1"/>
    <xf numFmtId="4" fontId="3" fillId="0" borderId="0" xfId="0" applyNumberFormat="1" applyFont="1"/>
    <xf numFmtId="165" fontId="3" fillId="0" borderId="0" xfId="0" applyNumberFormat="1" applyFont="1"/>
    <xf numFmtId="165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4" fontId="3" fillId="0" borderId="9" xfId="0" applyNumberFormat="1" applyFont="1" applyBorder="1"/>
    <xf numFmtId="165" fontId="3" fillId="0" borderId="9" xfId="0" applyNumberFormat="1" applyFont="1" applyBorder="1"/>
    <xf numFmtId="165" fontId="3" fillId="0" borderId="10" xfId="0" applyNumberFormat="1" applyFont="1" applyBorder="1"/>
    <xf numFmtId="4" fontId="3" fillId="0" borderId="10" xfId="0" applyNumberFormat="1" applyFont="1" applyBorder="1"/>
    <xf numFmtId="4" fontId="3" fillId="5" borderId="1" xfId="0" applyNumberFormat="1" applyFont="1" applyFill="1" applyBorder="1" applyAlignment="1"/>
    <xf numFmtId="165" fontId="3" fillId="5" borderId="1" xfId="0" applyNumberFormat="1" applyFont="1" applyFill="1" applyBorder="1" applyAlignment="1"/>
    <xf numFmtId="0" fontId="4" fillId="7" borderId="0" xfId="0" applyFont="1" applyFill="1" applyAlignment="1"/>
    <xf numFmtId="165" fontId="4" fillId="7" borderId="0" xfId="0" applyNumberFormat="1" applyFont="1" applyFill="1" applyAlignment="1"/>
    <xf numFmtId="1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/>
    <xf numFmtId="165" fontId="3" fillId="0" borderId="1" xfId="0" applyNumberFormat="1" applyFont="1" applyBorder="1" applyAlignment="1"/>
    <xf numFmtId="4" fontId="3" fillId="0" borderId="1" xfId="0" applyNumberFormat="1" applyFont="1" applyBorder="1" applyAlignment="1"/>
    <xf numFmtId="165" fontId="3" fillId="0" borderId="1" xfId="0" applyNumberFormat="1" applyFont="1" applyBorder="1" applyAlignment="1"/>
    <xf numFmtId="14" fontId="5" fillId="0" borderId="1" xfId="0" applyNumberFormat="1" applyFont="1" applyBorder="1"/>
    <xf numFmtId="0" fontId="3" fillId="0" borderId="12" xfId="0" applyFont="1" applyBorder="1"/>
    <xf numFmtId="0" fontId="3" fillId="0" borderId="13" xfId="0" applyFont="1" applyBorder="1"/>
    <xf numFmtId="4" fontId="3" fillId="0" borderId="13" xfId="0" applyNumberFormat="1" applyFont="1" applyBorder="1"/>
    <xf numFmtId="4" fontId="3" fillId="0" borderId="14" xfId="0" applyNumberFormat="1" applyFont="1" applyBorder="1"/>
    <xf numFmtId="14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14" fontId="4" fillId="0" borderId="2" xfId="0" applyNumberFormat="1" applyFont="1" applyBorder="1"/>
    <xf numFmtId="0" fontId="4" fillId="0" borderId="3" xfId="0" applyFont="1" applyBorder="1"/>
    <xf numFmtId="14" fontId="4" fillId="0" borderId="0" xfId="0" applyNumberFormat="1" applyFont="1"/>
    <xf numFmtId="4" fontId="4" fillId="0" borderId="0" xfId="0" applyNumberFormat="1" applyFont="1"/>
    <xf numFmtId="165" fontId="4" fillId="0" borderId="0" xfId="0" applyNumberFormat="1" applyFont="1"/>
    <xf numFmtId="14" fontId="3" fillId="0" borderId="1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165" fontId="3" fillId="0" borderId="0" xfId="0" applyNumberFormat="1" applyFont="1" applyBorder="1"/>
    <xf numFmtId="4" fontId="3" fillId="0" borderId="0" xfId="0" applyNumberFormat="1" applyFont="1" applyBorder="1"/>
    <xf numFmtId="165" fontId="3" fillId="0" borderId="0" xfId="0" applyNumberFormat="1" applyFont="1" applyBorder="1"/>
    <xf numFmtId="0" fontId="3" fillId="0" borderId="9" xfId="0" applyFont="1" applyBorder="1"/>
    <xf numFmtId="4" fontId="3" fillId="0" borderId="9" xfId="0" applyNumberFormat="1" applyFont="1" applyBorder="1"/>
    <xf numFmtId="4" fontId="5" fillId="0" borderId="1" xfId="0" applyNumberFormat="1" applyFont="1" applyBorder="1"/>
    <xf numFmtId="165" fontId="5" fillId="0" borderId="1" xfId="0" applyNumberFormat="1" applyFont="1" applyBorder="1"/>
    <xf numFmtId="4" fontId="4" fillId="0" borderId="1" xfId="0" applyNumberFormat="1" applyFont="1" applyBorder="1"/>
    <xf numFmtId="4" fontId="3" fillId="0" borderId="2" xfId="0" applyNumberFormat="1" applyFont="1" applyBorder="1"/>
    <xf numFmtId="0" fontId="3" fillId="0" borderId="15" xfId="0" applyFont="1" applyBorder="1"/>
    <xf numFmtId="0" fontId="3" fillId="0" borderId="16" xfId="0" applyFont="1" applyBorder="1"/>
    <xf numFmtId="4" fontId="3" fillId="0" borderId="16" xfId="0" applyNumberFormat="1" applyFont="1" applyBorder="1"/>
    <xf numFmtId="165" fontId="3" fillId="0" borderId="16" xfId="0" applyNumberFormat="1" applyFont="1" applyBorder="1"/>
    <xf numFmtId="165" fontId="3" fillId="0" borderId="17" xfId="0" applyNumberFormat="1" applyFont="1" applyBorder="1"/>
    <xf numFmtId="4" fontId="3" fillId="0" borderId="16" xfId="0" applyNumberFormat="1" applyFont="1" applyBorder="1"/>
    <xf numFmtId="4" fontId="3" fillId="0" borderId="17" xfId="0" applyNumberFormat="1" applyFont="1" applyBorder="1"/>
    <xf numFmtId="0" fontId="3" fillId="0" borderId="1" xfId="0" applyFont="1" applyBorder="1"/>
    <xf numFmtId="14" fontId="5" fillId="0" borderId="1" xfId="0" applyNumberFormat="1" applyFont="1" applyBorder="1"/>
    <xf numFmtId="0" fontId="5" fillId="0" borderId="1" xfId="0" applyFont="1" applyBorder="1"/>
    <xf numFmtId="14" fontId="4" fillId="0" borderId="2" xfId="0" applyNumberFormat="1" applyFont="1" applyBorder="1"/>
    <xf numFmtId="0" fontId="4" fillId="0" borderId="3" xfId="0" applyFont="1" applyBorder="1"/>
    <xf numFmtId="0" fontId="4" fillId="0" borderId="1" xfId="0" applyFont="1" applyBorder="1"/>
    <xf numFmtId="165" fontId="4" fillId="0" borderId="1" xfId="0" applyNumberFormat="1" applyFont="1" applyBorder="1"/>
    <xf numFmtId="0" fontId="3" fillId="0" borderId="18" xfId="0" applyFont="1" applyBorder="1"/>
    <xf numFmtId="166" fontId="3" fillId="0" borderId="18" xfId="0" applyNumberFormat="1" applyFont="1" applyBorder="1"/>
    <xf numFmtId="0" fontId="3" fillId="0" borderId="16" xfId="0" applyFont="1" applyBorder="1"/>
    <xf numFmtId="165" fontId="3" fillId="0" borderId="9" xfId="0" applyNumberFormat="1" applyFont="1" applyBorder="1"/>
    <xf numFmtId="165" fontId="3" fillId="0" borderId="10" xfId="0" applyNumberFormat="1" applyFont="1" applyBorder="1"/>
    <xf numFmtId="14" fontId="3" fillId="0" borderId="2" xfId="0" applyNumberFormat="1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165" fontId="3" fillId="0" borderId="16" xfId="0" applyNumberFormat="1" applyFont="1" applyBorder="1"/>
    <xf numFmtId="165" fontId="3" fillId="0" borderId="17" xfId="0" applyNumberFormat="1" applyFont="1" applyBorder="1"/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4" fontId="3" fillId="0" borderId="19" xfId="0" applyNumberFormat="1" applyFont="1" applyBorder="1"/>
    <xf numFmtId="165" fontId="3" fillId="0" borderId="19" xfId="0" applyNumberFormat="1" applyFont="1" applyBorder="1"/>
    <xf numFmtId="165" fontId="3" fillId="0" borderId="20" xfId="0" applyNumberFormat="1" applyFont="1" applyBorder="1"/>
    <xf numFmtId="4" fontId="3" fillId="0" borderId="20" xfId="0" applyNumberFormat="1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21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4" fontId="3" fillId="0" borderId="23" xfId="0" applyNumberFormat="1" applyFont="1" applyBorder="1"/>
    <xf numFmtId="165" fontId="3" fillId="0" borderId="23" xfId="0" applyNumberFormat="1" applyFont="1" applyBorder="1"/>
    <xf numFmtId="165" fontId="3" fillId="0" borderId="24" xfId="0" applyNumberFormat="1" applyFont="1" applyBorder="1"/>
    <xf numFmtId="0" fontId="3" fillId="0" borderId="0" xfId="0" applyFont="1" applyBorder="1"/>
    <xf numFmtId="14" fontId="4" fillId="0" borderId="0" xfId="0" applyNumberFormat="1" applyFont="1" applyBorder="1"/>
    <xf numFmtId="0" fontId="4" fillId="0" borderId="0" xfId="0" applyFont="1" applyBorder="1"/>
    <xf numFmtId="4" fontId="4" fillId="0" borderId="0" xfId="0" applyNumberFormat="1" applyFont="1" applyBorder="1"/>
    <xf numFmtId="165" fontId="4" fillId="0" borderId="0" xfId="0" applyNumberFormat="1" applyFont="1" applyBorder="1"/>
    <xf numFmtId="14" fontId="3" fillId="0" borderId="21" xfId="0" applyNumberFormat="1" applyFont="1" applyBorder="1" applyAlignment="1">
      <alignment vertical="center"/>
    </xf>
    <xf numFmtId="0" fontId="3" fillId="3" borderId="9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4" xfId="0" applyFont="1" applyBorder="1"/>
    <xf numFmtId="4" fontId="3" fillId="0" borderId="23" xfId="0" applyNumberFormat="1" applyFont="1" applyBorder="1"/>
    <xf numFmtId="165" fontId="3" fillId="0" borderId="23" xfId="0" applyNumberFormat="1" applyFont="1" applyBorder="1"/>
    <xf numFmtId="165" fontId="3" fillId="0" borderId="24" xfId="0" applyNumberFormat="1" applyFont="1" applyBorder="1"/>
    <xf numFmtId="4" fontId="3" fillId="0" borderId="28" xfId="0" applyNumberFormat="1" applyFont="1" applyBorder="1"/>
    <xf numFmtId="0" fontId="3" fillId="0" borderId="29" xfId="0" applyFont="1" applyBorder="1"/>
    <xf numFmtId="4" fontId="3" fillId="0" borderId="30" xfId="0" applyNumberFormat="1" applyFont="1" applyBorder="1"/>
    <xf numFmtId="165" fontId="3" fillId="0" borderId="13" xfId="0" applyNumberFormat="1" applyFont="1" applyBorder="1"/>
    <xf numFmtId="165" fontId="3" fillId="0" borderId="31" xfId="0" applyNumberFormat="1" applyFont="1" applyBorder="1"/>
    <xf numFmtId="4" fontId="3" fillId="0" borderId="32" xfId="0" applyNumberFormat="1" applyFont="1" applyBorder="1"/>
    <xf numFmtId="4" fontId="3" fillId="0" borderId="19" xfId="0" applyNumberFormat="1" applyFont="1" applyBorder="1"/>
    <xf numFmtId="165" fontId="3" fillId="0" borderId="19" xfId="0" applyNumberFormat="1" applyFont="1" applyBorder="1"/>
    <xf numFmtId="165" fontId="3" fillId="0" borderId="20" xfId="0" applyNumberFormat="1" applyFont="1" applyBorder="1"/>
    <xf numFmtId="4" fontId="3" fillId="0" borderId="7" xfId="0" applyNumberFormat="1" applyFont="1" applyBorder="1"/>
    <xf numFmtId="4" fontId="3" fillId="0" borderId="10" xfId="0" applyNumberFormat="1" applyFont="1" applyBorder="1"/>
    <xf numFmtId="0" fontId="3" fillId="0" borderId="29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34" xfId="0" applyFont="1" applyBorder="1"/>
    <xf numFmtId="0" fontId="3" fillId="0" borderId="35" xfId="0" applyFont="1" applyBorder="1"/>
    <xf numFmtId="4" fontId="3" fillId="0" borderId="35" xfId="0" applyNumberFormat="1" applyFont="1" applyBorder="1"/>
    <xf numFmtId="165" fontId="3" fillId="0" borderId="35" xfId="0" applyNumberFormat="1" applyFont="1" applyBorder="1"/>
    <xf numFmtId="165" fontId="3" fillId="0" borderId="36" xfId="0" applyNumberFormat="1" applyFont="1" applyBorder="1"/>
    <xf numFmtId="0" fontId="3" fillId="0" borderId="37" xfId="0" applyFont="1" applyBorder="1" applyAlignment="1">
      <alignment horizontal="left" vertical="center"/>
    </xf>
    <xf numFmtId="0" fontId="6" fillId="0" borderId="37" xfId="0" applyFont="1" applyBorder="1"/>
    <xf numFmtId="0" fontId="6" fillId="0" borderId="16" xfId="0" applyFont="1" applyBorder="1"/>
    <xf numFmtId="4" fontId="3" fillId="0" borderId="38" xfId="0" applyNumberFormat="1" applyFont="1" applyBorder="1"/>
    <xf numFmtId="165" fontId="3" fillId="0" borderId="38" xfId="0" applyNumberFormat="1" applyFont="1" applyBorder="1"/>
    <xf numFmtId="165" fontId="3" fillId="0" borderId="39" xfId="0" applyNumberFormat="1" applyFont="1" applyBorder="1"/>
    <xf numFmtId="167" fontId="3" fillId="0" borderId="0" xfId="0" applyNumberFormat="1" applyFont="1"/>
    <xf numFmtId="4" fontId="3" fillId="0" borderId="35" xfId="0" applyNumberFormat="1" applyFont="1" applyBorder="1"/>
    <xf numFmtId="165" fontId="3" fillId="0" borderId="35" xfId="0" applyNumberFormat="1" applyFont="1" applyBorder="1"/>
    <xf numFmtId="165" fontId="3" fillId="0" borderId="36" xfId="0" applyNumberFormat="1" applyFont="1" applyBorder="1"/>
    <xf numFmtId="14" fontId="3" fillId="0" borderId="33" xfId="0" applyNumberFormat="1" applyFont="1" applyBorder="1" applyAlignment="1">
      <alignment vertical="center"/>
    </xf>
    <xf numFmtId="0" fontId="3" fillId="0" borderId="0" xfId="2" applyFont="1" applyAlignment="1" applyProtection="1"/>
    <xf numFmtId="0" fontId="3" fillId="0" borderId="0" xfId="0" applyFont="1" applyAlignment="1" applyProtection="1"/>
    <xf numFmtId="14" fontId="3" fillId="0" borderId="25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3">
    <cellStyle name="Normálna" xfId="0" builtinId="0"/>
    <cellStyle name="Normálne 2" xfId="2" xr:uid="{00000000-0005-0000-0000-000007000000}"/>
    <cellStyle name="Výsledok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0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6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048576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11.5703125" defaultRowHeight="13.9" customHeight="1" x14ac:dyDescent="0.25"/>
  <cols>
    <col min="1" max="1" width="11.5703125" style="15" customWidth="1"/>
    <col min="2" max="2" width="8.7109375" style="15" customWidth="1"/>
    <col min="3" max="3" width="18.140625" style="15" customWidth="1"/>
    <col min="4" max="7" width="11" style="15" hidden="1" customWidth="1"/>
    <col min="8" max="8" width="12.7109375" style="15" customWidth="1"/>
    <col min="9" max="12" width="11" style="15" hidden="1" customWidth="1"/>
    <col min="13" max="14" width="12.7109375" style="15" customWidth="1"/>
    <col min="15" max="15" width="6.7109375" style="16" customWidth="1"/>
    <col min="16" max="16" width="12.7109375" style="15" customWidth="1"/>
    <col min="17" max="17" width="6.7109375" style="15" customWidth="1"/>
    <col min="18" max="18" width="12.7109375" style="15" customWidth="1"/>
    <col min="19" max="19" width="6.7109375" style="15" customWidth="1"/>
    <col min="20" max="20" width="12.7109375" style="15" customWidth="1"/>
    <col min="21" max="21" width="6.7109375" style="15" customWidth="1"/>
    <col min="22" max="23" width="11" style="15" hidden="1" customWidth="1"/>
    <col min="24" max="64" width="8.7109375" style="15" customWidth="1"/>
  </cols>
  <sheetData>
    <row r="1" spans="1:23" ht="13.9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8"/>
      <c r="Q1" s="18"/>
      <c r="R1" s="18"/>
      <c r="S1" s="18"/>
      <c r="T1" s="18"/>
      <c r="U1" s="18"/>
      <c r="V1" s="18"/>
      <c r="W1" s="18"/>
    </row>
    <row r="2" spans="1:23" ht="13.9" customHeight="1" x14ac:dyDescent="0.25">
      <c r="A2" s="20"/>
      <c r="B2" s="20"/>
      <c r="C2" s="20"/>
      <c r="D2" s="21" t="s">
        <v>1</v>
      </c>
      <c r="E2" s="21" t="s">
        <v>2</v>
      </c>
      <c r="F2" s="21" t="s">
        <v>3</v>
      </c>
      <c r="G2" s="21" t="s">
        <v>4</v>
      </c>
      <c r="H2" s="21" t="s">
        <v>5</v>
      </c>
      <c r="I2" s="21" t="s">
        <v>6</v>
      </c>
      <c r="J2" s="21" t="s">
        <v>7</v>
      </c>
      <c r="K2" s="21" t="s">
        <v>8</v>
      </c>
      <c r="L2" s="21" t="s">
        <v>9</v>
      </c>
      <c r="M2" s="21" t="s">
        <v>10</v>
      </c>
      <c r="N2" s="21" t="s">
        <v>11</v>
      </c>
      <c r="O2" s="22" t="s">
        <v>12</v>
      </c>
      <c r="P2" s="21" t="s">
        <v>13</v>
      </c>
      <c r="Q2" s="22" t="s">
        <v>14</v>
      </c>
      <c r="R2" s="21" t="s">
        <v>15</v>
      </c>
      <c r="S2" s="22" t="s">
        <v>16</v>
      </c>
      <c r="T2" s="21" t="s">
        <v>17</v>
      </c>
      <c r="U2" s="22" t="s">
        <v>18</v>
      </c>
      <c r="V2" s="21" t="s">
        <v>19</v>
      </c>
      <c r="W2" s="21" t="s">
        <v>20</v>
      </c>
    </row>
    <row r="3" spans="1:23" ht="13.9" customHeight="1" x14ac:dyDescent="0.25">
      <c r="A3" s="14" t="s">
        <v>21</v>
      </c>
      <c r="B3" s="24">
        <v>111</v>
      </c>
      <c r="C3" s="24" t="s">
        <v>22</v>
      </c>
      <c r="D3" s="25">
        <f t="shared" ref="D3:N3" si="0">D42+D75-D8</f>
        <v>1086653.9000000004</v>
      </c>
      <c r="E3" s="25">
        <f t="shared" si="0"/>
        <v>1053852.06</v>
      </c>
      <c r="F3" s="25">
        <f t="shared" si="0"/>
        <v>1257985</v>
      </c>
      <c r="G3" s="25">
        <f t="shared" si="0"/>
        <v>1397924</v>
      </c>
      <c r="H3" s="25">
        <f t="shared" si="0"/>
        <v>1468334</v>
      </c>
      <c r="I3" s="25">
        <f t="shared" si="0"/>
        <v>29368</v>
      </c>
      <c r="J3" s="25">
        <f t="shared" si="0"/>
        <v>0</v>
      </c>
      <c r="K3" s="25">
        <f t="shared" si="0"/>
        <v>0</v>
      </c>
      <c r="L3" s="25">
        <f t="shared" si="0"/>
        <v>0</v>
      </c>
      <c r="M3" s="25">
        <f t="shared" si="0"/>
        <v>1497702</v>
      </c>
      <c r="N3" s="25">
        <f t="shared" si="0"/>
        <v>428467.97999999992</v>
      </c>
      <c r="O3" s="26">
        <f t="shared" ref="O3:O21" si="1">IFERROR(N3/$M3,0)</f>
        <v>0.28608360007531536</v>
      </c>
      <c r="P3" s="25">
        <f>P42+P75-P8</f>
        <v>0</v>
      </c>
      <c r="Q3" s="26">
        <f t="shared" ref="Q3:Q21" si="2">IFERROR(P3/$M3,0)</f>
        <v>0</v>
      </c>
      <c r="R3" s="25">
        <f>R42+R75-R8</f>
        <v>0</v>
      </c>
      <c r="S3" s="26">
        <f t="shared" ref="S3:S21" si="3">IFERROR(R3/$M3,0)</f>
        <v>0</v>
      </c>
      <c r="T3" s="25">
        <f>T42+T75-T8</f>
        <v>0</v>
      </c>
      <c r="U3" s="26">
        <f t="shared" ref="U3:U21" si="4">IFERROR(T3/$M3,0)</f>
        <v>0</v>
      </c>
      <c r="V3" s="25">
        <f>V42+V75-V8</f>
        <v>1531565</v>
      </c>
      <c r="W3" s="25">
        <f>W42+W75-W8</f>
        <v>1545326</v>
      </c>
    </row>
    <row r="4" spans="1:23" ht="13.9" customHeight="1" x14ac:dyDescent="0.25">
      <c r="A4" s="14"/>
      <c r="B4" s="24">
        <v>41</v>
      </c>
      <c r="C4" s="24" t="s">
        <v>23</v>
      </c>
      <c r="D4" s="25">
        <f t="shared" ref="D4:N4" si="5">D25+D43-D9</f>
        <v>1554082.55</v>
      </c>
      <c r="E4" s="25">
        <f t="shared" si="5"/>
        <v>1570875.69</v>
      </c>
      <c r="F4" s="25">
        <f t="shared" si="5"/>
        <v>1397248</v>
      </c>
      <c r="G4" s="25">
        <f t="shared" si="5"/>
        <v>1443067</v>
      </c>
      <c r="H4" s="25">
        <f t="shared" si="5"/>
        <v>1543892</v>
      </c>
      <c r="I4" s="25">
        <f t="shared" si="5"/>
        <v>397</v>
      </c>
      <c r="J4" s="25">
        <f t="shared" si="5"/>
        <v>0</v>
      </c>
      <c r="K4" s="25">
        <f t="shared" si="5"/>
        <v>0</v>
      </c>
      <c r="L4" s="25">
        <f t="shared" si="5"/>
        <v>0</v>
      </c>
      <c r="M4" s="25">
        <f t="shared" si="5"/>
        <v>1544289</v>
      </c>
      <c r="N4" s="25">
        <f t="shared" si="5"/>
        <v>411123.98</v>
      </c>
      <c r="O4" s="26">
        <f t="shared" si="1"/>
        <v>0.26622217732561715</v>
      </c>
      <c r="P4" s="25">
        <f>P25+P43-P9</f>
        <v>0</v>
      </c>
      <c r="Q4" s="26">
        <f t="shared" si="2"/>
        <v>0</v>
      </c>
      <c r="R4" s="25">
        <f>R25+R43-R9</f>
        <v>0</v>
      </c>
      <c r="S4" s="26">
        <f t="shared" si="3"/>
        <v>0</v>
      </c>
      <c r="T4" s="25">
        <f>T25+T43-T9</f>
        <v>0</v>
      </c>
      <c r="U4" s="26">
        <f t="shared" si="4"/>
        <v>0</v>
      </c>
      <c r="V4" s="25">
        <f>V25+V43-V9</f>
        <v>1581333</v>
      </c>
      <c r="W4" s="25">
        <f>W25+W43-W9</f>
        <v>1648237</v>
      </c>
    </row>
    <row r="5" spans="1:23" ht="13.9" customHeight="1" x14ac:dyDescent="0.25">
      <c r="A5" s="14"/>
      <c r="B5" s="24">
        <v>71</v>
      </c>
      <c r="C5" s="24" t="s">
        <v>24</v>
      </c>
      <c r="D5" s="25">
        <f>D76</f>
        <v>3000</v>
      </c>
      <c r="E5" s="25">
        <f>E76</f>
        <v>3000</v>
      </c>
      <c r="F5" s="25">
        <f t="shared" ref="F5:N5" si="6">F76-F10</f>
        <v>3000</v>
      </c>
      <c r="G5" s="25">
        <f t="shared" si="6"/>
        <v>3000</v>
      </c>
      <c r="H5" s="25">
        <f t="shared" si="6"/>
        <v>3000</v>
      </c>
      <c r="I5" s="25">
        <f t="shared" si="6"/>
        <v>0</v>
      </c>
      <c r="J5" s="25">
        <f t="shared" si="6"/>
        <v>0</v>
      </c>
      <c r="K5" s="25">
        <f t="shared" si="6"/>
        <v>0</v>
      </c>
      <c r="L5" s="25">
        <f t="shared" si="6"/>
        <v>0</v>
      </c>
      <c r="M5" s="25">
        <f t="shared" si="6"/>
        <v>3000</v>
      </c>
      <c r="N5" s="25">
        <f t="shared" si="6"/>
        <v>0</v>
      </c>
      <c r="O5" s="26">
        <f t="shared" si="1"/>
        <v>0</v>
      </c>
      <c r="P5" s="25">
        <f>P76-P10</f>
        <v>0</v>
      </c>
      <c r="Q5" s="26">
        <f t="shared" si="2"/>
        <v>0</v>
      </c>
      <c r="R5" s="25">
        <f>R76-R10</f>
        <v>0</v>
      </c>
      <c r="S5" s="26">
        <f t="shared" si="3"/>
        <v>0</v>
      </c>
      <c r="T5" s="25">
        <f>T76-T10</f>
        <v>0</v>
      </c>
      <c r="U5" s="26">
        <f t="shared" si="4"/>
        <v>0</v>
      </c>
      <c r="V5" s="25">
        <f>V76-V10</f>
        <v>3000</v>
      </c>
      <c r="W5" s="25">
        <f>W76-W10</f>
        <v>3000</v>
      </c>
    </row>
    <row r="6" spans="1:23" ht="13.9" customHeight="1" x14ac:dyDescent="0.25">
      <c r="A6" s="14"/>
      <c r="B6" s="24">
        <v>72</v>
      </c>
      <c r="C6" s="24" t="s">
        <v>25</v>
      </c>
      <c r="D6" s="25">
        <f t="shared" ref="D6:N6" si="7">D44+D77</f>
        <v>106433.95</v>
      </c>
      <c r="E6" s="25">
        <f t="shared" si="7"/>
        <v>95193.46</v>
      </c>
      <c r="F6" s="25">
        <f t="shared" si="7"/>
        <v>94143</v>
      </c>
      <c r="G6" s="25">
        <f t="shared" si="7"/>
        <v>97678</v>
      </c>
      <c r="H6" s="25">
        <f t="shared" si="7"/>
        <v>96229</v>
      </c>
      <c r="I6" s="25">
        <f t="shared" si="7"/>
        <v>5260</v>
      </c>
      <c r="J6" s="25">
        <f t="shared" si="7"/>
        <v>0</v>
      </c>
      <c r="K6" s="25">
        <f t="shared" si="7"/>
        <v>0</v>
      </c>
      <c r="L6" s="25">
        <f t="shared" si="7"/>
        <v>0</v>
      </c>
      <c r="M6" s="25">
        <f t="shared" si="7"/>
        <v>101489</v>
      </c>
      <c r="N6" s="25">
        <f t="shared" si="7"/>
        <v>32016.620000000003</v>
      </c>
      <c r="O6" s="26">
        <f t="shared" si="1"/>
        <v>0.31546886854733031</v>
      </c>
      <c r="P6" s="25">
        <f>P44+P77</f>
        <v>0</v>
      </c>
      <c r="Q6" s="26">
        <f t="shared" si="2"/>
        <v>0</v>
      </c>
      <c r="R6" s="25">
        <f>R44+R77</f>
        <v>0</v>
      </c>
      <c r="S6" s="26">
        <f t="shared" si="3"/>
        <v>0</v>
      </c>
      <c r="T6" s="25">
        <f>T44+T77</f>
        <v>0</v>
      </c>
      <c r="U6" s="26">
        <f t="shared" si="4"/>
        <v>0</v>
      </c>
      <c r="V6" s="25">
        <f>V44+V77</f>
        <v>97124</v>
      </c>
      <c r="W6" s="25">
        <f>W44+W77</f>
        <v>97124</v>
      </c>
    </row>
    <row r="7" spans="1:23" ht="13.9" customHeight="1" x14ac:dyDescent="0.25">
      <c r="A7" s="14"/>
      <c r="B7" s="24"/>
      <c r="C7" s="27" t="s">
        <v>26</v>
      </c>
      <c r="D7" s="28">
        <f t="shared" ref="D7:N7" si="8">SUM(D3:D6)</f>
        <v>2750170.4000000004</v>
      </c>
      <c r="E7" s="28">
        <f t="shared" si="8"/>
        <v>2722921.21</v>
      </c>
      <c r="F7" s="28">
        <f t="shared" si="8"/>
        <v>2752376</v>
      </c>
      <c r="G7" s="28">
        <f t="shared" si="8"/>
        <v>2941669</v>
      </c>
      <c r="H7" s="28">
        <f t="shared" si="8"/>
        <v>3111455</v>
      </c>
      <c r="I7" s="28">
        <f t="shared" si="8"/>
        <v>35025</v>
      </c>
      <c r="J7" s="28">
        <f t="shared" si="8"/>
        <v>0</v>
      </c>
      <c r="K7" s="28">
        <f t="shared" si="8"/>
        <v>0</v>
      </c>
      <c r="L7" s="28">
        <f t="shared" si="8"/>
        <v>0</v>
      </c>
      <c r="M7" s="28">
        <f t="shared" si="8"/>
        <v>3146480</v>
      </c>
      <c r="N7" s="28">
        <f t="shared" si="8"/>
        <v>871608.58</v>
      </c>
      <c r="O7" s="29">
        <f t="shared" si="1"/>
        <v>0.27701068495588721</v>
      </c>
      <c r="P7" s="28">
        <f>SUM(P3:P6)</f>
        <v>0</v>
      </c>
      <c r="Q7" s="29">
        <f t="shared" si="2"/>
        <v>0</v>
      </c>
      <c r="R7" s="28">
        <f>SUM(R3:R6)</f>
        <v>0</v>
      </c>
      <c r="S7" s="29">
        <f t="shared" si="3"/>
        <v>0</v>
      </c>
      <c r="T7" s="28">
        <f>SUM(T3:T6)</f>
        <v>0</v>
      </c>
      <c r="U7" s="29">
        <f t="shared" si="4"/>
        <v>0</v>
      </c>
      <c r="V7" s="28">
        <f>SUM(V3:V6)</f>
        <v>3213022</v>
      </c>
      <c r="W7" s="28">
        <f>SUM(W3:W6)</f>
        <v>3293687</v>
      </c>
    </row>
    <row r="8" spans="1:23" ht="13.9" customHeight="1" x14ac:dyDescent="0.25">
      <c r="A8" s="14"/>
      <c r="B8" s="24">
        <v>111</v>
      </c>
      <c r="C8" s="24" t="s">
        <v>22</v>
      </c>
      <c r="D8" s="25">
        <f t="shared" ref="D8:N8" si="9">SUM(D106:D116)</f>
        <v>402631.76</v>
      </c>
      <c r="E8" s="25">
        <f t="shared" si="9"/>
        <v>246129.63999999998</v>
      </c>
      <c r="F8" s="25">
        <f t="shared" si="9"/>
        <v>821040</v>
      </c>
      <c r="G8" s="25">
        <f t="shared" si="9"/>
        <v>361491</v>
      </c>
      <c r="H8" s="25">
        <f t="shared" si="9"/>
        <v>2829024</v>
      </c>
      <c r="I8" s="25">
        <f t="shared" si="9"/>
        <v>138108</v>
      </c>
      <c r="J8" s="25">
        <f t="shared" si="9"/>
        <v>0</v>
      </c>
      <c r="K8" s="25">
        <f t="shared" si="9"/>
        <v>0</v>
      </c>
      <c r="L8" s="25">
        <f t="shared" si="9"/>
        <v>0</v>
      </c>
      <c r="M8" s="25">
        <f t="shared" si="9"/>
        <v>2967132</v>
      </c>
      <c r="N8" s="25">
        <f t="shared" si="9"/>
        <v>0</v>
      </c>
      <c r="O8" s="26">
        <f t="shared" si="1"/>
        <v>0</v>
      </c>
      <c r="P8" s="25">
        <f>SUM(P106:P116)</f>
        <v>0</v>
      </c>
      <c r="Q8" s="26">
        <f t="shared" si="2"/>
        <v>0</v>
      </c>
      <c r="R8" s="25">
        <f>SUM(R106:R116)</f>
        <v>0</v>
      </c>
      <c r="S8" s="26">
        <f t="shared" si="3"/>
        <v>0</v>
      </c>
      <c r="T8" s="25">
        <f>SUM(T106:T116)</f>
        <v>0</v>
      </c>
      <c r="U8" s="26">
        <f t="shared" si="4"/>
        <v>0</v>
      </c>
      <c r="V8" s="25">
        <f>SUM(V106:V116)</f>
        <v>0</v>
      </c>
      <c r="W8" s="25">
        <f>SUM(W106:W116)</f>
        <v>0</v>
      </c>
    </row>
    <row r="9" spans="1:23" ht="13.9" customHeight="1" x14ac:dyDescent="0.25">
      <c r="A9" s="14"/>
      <c r="B9" s="24">
        <v>43</v>
      </c>
      <c r="C9" s="24" t="s">
        <v>23</v>
      </c>
      <c r="D9" s="25">
        <f t="shared" ref="D9:N9" si="10">D54</f>
        <v>3650</v>
      </c>
      <c r="E9" s="25">
        <f t="shared" si="10"/>
        <v>0</v>
      </c>
      <c r="F9" s="25">
        <f t="shared" si="10"/>
        <v>0</v>
      </c>
      <c r="G9" s="25">
        <f t="shared" si="10"/>
        <v>2025</v>
      </c>
      <c r="H9" s="25">
        <f t="shared" si="10"/>
        <v>0</v>
      </c>
      <c r="I9" s="25">
        <f t="shared" si="10"/>
        <v>0</v>
      </c>
      <c r="J9" s="25">
        <f t="shared" si="10"/>
        <v>0</v>
      </c>
      <c r="K9" s="25">
        <f t="shared" si="10"/>
        <v>0</v>
      </c>
      <c r="L9" s="25">
        <f t="shared" si="10"/>
        <v>0</v>
      </c>
      <c r="M9" s="25">
        <f t="shared" si="10"/>
        <v>0</v>
      </c>
      <c r="N9" s="25">
        <f t="shared" si="10"/>
        <v>10</v>
      </c>
      <c r="O9" s="26">
        <f t="shared" si="1"/>
        <v>0</v>
      </c>
      <c r="P9" s="25">
        <f>P54</f>
        <v>0</v>
      </c>
      <c r="Q9" s="26">
        <f t="shared" si="2"/>
        <v>0</v>
      </c>
      <c r="R9" s="25">
        <f>R54</f>
        <v>0</v>
      </c>
      <c r="S9" s="26">
        <f t="shared" si="3"/>
        <v>0</v>
      </c>
      <c r="T9" s="25">
        <f>T54</f>
        <v>0</v>
      </c>
      <c r="U9" s="26">
        <f t="shared" si="4"/>
        <v>0</v>
      </c>
      <c r="V9" s="25">
        <f>V54</f>
        <v>0</v>
      </c>
      <c r="W9" s="25">
        <f>W54</f>
        <v>0</v>
      </c>
    </row>
    <row r="10" spans="1:23" ht="13.9" customHeight="1" x14ac:dyDescent="0.25">
      <c r="A10" s="14"/>
      <c r="B10" s="24">
        <v>71</v>
      </c>
      <c r="C10" s="24" t="s">
        <v>24</v>
      </c>
      <c r="D10" s="25">
        <f t="shared" ref="D10:N10" si="11">D119</f>
        <v>0</v>
      </c>
      <c r="E10" s="25">
        <f t="shared" si="11"/>
        <v>0</v>
      </c>
      <c r="F10" s="25">
        <f t="shared" si="11"/>
        <v>6000</v>
      </c>
      <c r="G10" s="25">
        <f t="shared" si="11"/>
        <v>6000</v>
      </c>
      <c r="H10" s="25">
        <f t="shared" si="11"/>
        <v>0</v>
      </c>
      <c r="I10" s="25">
        <f t="shared" si="11"/>
        <v>0</v>
      </c>
      <c r="J10" s="25">
        <f t="shared" si="11"/>
        <v>0</v>
      </c>
      <c r="K10" s="25">
        <f t="shared" si="11"/>
        <v>0</v>
      </c>
      <c r="L10" s="25">
        <f t="shared" si="11"/>
        <v>0</v>
      </c>
      <c r="M10" s="25">
        <f t="shared" si="11"/>
        <v>0</v>
      </c>
      <c r="N10" s="25">
        <f t="shared" si="11"/>
        <v>0</v>
      </c>
      <c r="O10" s="26">
        <f t="shared" si="1"/>
        <v>0</v>
      </c>
      <c r="P10" s="25">
        <f>P119</f>
        <v>0</v>
      </c>
      <c r="Q10" s="26">
        <f t="shared" si="2"/>
        <v>0</v>
      </c>
      <c r="R10" s="25">
        <f>R119</f>
        <v>0</v>
      </c>
      <c r="S10" s="26">
        <f t="shared" si="3"/>
        <v>0</v>
      </c>
      <c r="T10" s="25">
        <f>T119</f>
        <v>0</v>
      </c>
      <c r="U10" s="26">
        <f t="shared" si="4"/>
        <v>0</v>
      </c>
      <c r="V10" s="25">
        <v>0</v>
      </c>
      <c r="W10" s="25">
        <v>0</v>
      </c>
    </row>
    <row r="11" spans="1:23" ht="13.9" customHeight="1" x14ac:dyDescent="0.25">
      <c r="A11" s="14"/>
      <c r="B11" s="24"/>
      <c r="C11" s="27" t="s">
        <v>27</v>
      </c>
      <c r="D11" s="28">
        <f t="shared" ref="D11:N11" si="12">SUM(D8:D10)</f>
        <v>406281.76</v>
      </c>
      <c r="E11" s="28">
        <f t="shared" si="12"/>
        <v>246129.63999999998</v>
      </c>
      <c r="F11" s="28">
        <f t="shared" si="12"/>
        <v>827040</v>
      </c>
      <c r="G11" s="28">
        <f t="shared" si="12"/>
        <v>369516</v>
      </c>
      <c r="H11" s="28">
        <f t="shared" si="12"/>
        <v>2829024</v>
      </c>
      <c r="I11" s="28">
        <f t="shared" si="12"/>
        <v>138108</v>
      </c>
      <c r="J11" s="28">
        <f t="shared" si="12"/>
        <v>0</v>
      </c>
      <c r="K11" s="28">
        <f t="shared" si="12"/>
        <v>0</v>
      </c>
      <c r="L11" s="28">
        <f t="shared" si="12"/>
        <v>0</v>
      </c>
      <c r="M11" s="28">
        <f t="shared" si="12"/>
        <v>2967132</v>
      </c>
      <c r="N11" s="28">
        <f t="shared" si="12"/>
        <v>10</v>
      </c>
      <c r="O11" s="29">
        <f t="shared" si="1"/>
        <v>3.3702578786518431E-6</v>
      </c>
      <c r="P11" s="28">
        <f>SUM(P8:P10)</f>
        <v>0</v>
      </c>
      <c r="Q11" s="29">
        <f t="shared" si="2"/>
        <v>0</v>
      </c>
      <c r="R11" s="28">
        <f>SUM(R8:R10)</f>
        <v>0</v>
      </c>
      <c r="S11" s="29">
        <f t="shared" si="3"/>
        <v>0</v>
      </c>
      <c r="T11" s="28">
        <f>SUM(T8:T10)</f>
        <v>0</v>
      </c>
      <c r="U11" s="29">
        <f t="shared" si="4"/>
        <v>0</v>
      </c>
      <c r="V11" s="28">
        <f>SUM(V8:V10)</f>
        <v>0</v>
      </c>
      <c r="W11" s="28">
        <f>SUM(W8:W10)</f>
        <v>0</v>
      </c>
    </row>
    <row r="12" spans="1:23" ht="13.9" customHeight="1" x14ac:dyDescent="0.25">
      <c r="A12" s="14"/>
      <c r="B12" s="24">
        <v>131</v>
      </c>
      <c r="C12" s="24" t="s">
        <v>22</v>
      </c>
      <c r="D12" s="25">
        <f t="shared" ref="D12:N12" si="13">D126</f>
        <v>32325.77</v>
      </c>
      <c r="E12" s="25">
        <f t="shared" si="13"/>
        <v>326950.78999999998</v>
      </c>
      <c r="F12" s="25">
        <f t="shared" si="13"/>
        <v>177532</v>
      </c>
      <c r="G12" s="25">
        <f t="shared" si="13"/>
        <v>219632</v>
      </c>
      <c r="H12" s="25">
        <f t="shared" si="13"/>
        <v>0</v>
      </c>
      <c r="I12" s="25">
        <f t="shared" si="13"/>
        <v>93285</v>
      </c>
      <c r="J12" s="25">
        <f t="shared" si="13"/>
        <v>0</v>
      </c>
      <c r="K12" s="25">
        <f t="shared" si="13"/>
        <v>0</v>
      </c>
      <c r="L12" s="25">
        <f t="shared" si="13"/>
        <v>0</v>
      </c>
      <c r="M12" s="25">
        <f t="shared" si="13"/>
        <v>93285</v>
      </c>
      <c r="N12" s="25">
        <f t="shared" si="13"/>
        <v>93283.9</v>
      </c>
      <c r="O12" s="26">
        <f t="shared" si="1"/>
        <v>0.99998820817923562</v>
      </c>
      <c r="P12" s="25">
        <f>P126</f>
        <v>0</v>
      </c>
      <c r="Q12" s="26">
        <f t="shared" si="2"/>
        <v>0</v>
      </c>
      <c r="R12" s="25">
        <f>R126</f>
        <v>0</v>
      </c>
      <c r="S12" s="26">
        <f t="shared" si="3"/>
        <v>0</v>
      </c>
      <c r="T12" s="25">
        <f>T126</f>
        <v>0</v>
      </c>
      <c r="U12" s="26">
        <f t="shared" si="4"/>
        <v>0</v>
      </c>
      <c r="V12" s="25">
        <f t="shared" ref="V12:W15" si="14">V126</f>
        <v>0</v>
      </c>
      <c r="W12" s="25">
        <f t="shared" si="14"/>
        <v>0</v>
      </c>
    </row>
    <row r="13" spans="1:23" ht="13.9" customHeight="1" x14ac:dyDescent="0.25">
      <c r="A13" s="14"/>
      <c r="B13" s="24">
        <v>41</v>
      </c>
      <c r="C13" s="24" t="s">
        <v>23</v>
      </c>
      <c r="D13" s="25">
        <f t="shared" ref="D13:N13" si="15">D127</f>
        <v>112421.69</v>
      </c>
      <c r="E13" s="25">
        <f t="shared" si="15"/>
        <v>74201.16</v>
      </c>
      <c r="F13" s="25">
        <f t="shared" si="15"/>
        <v>150000</v>
      </c>
      <c r="G13" s="25">
        <f t="shared" si="15"/>
        <v>396184</v>
      </c>
      <c r="H13" s="25">
        <f t="shared" si="15"/>
        <v>311436</v>
      </c>
      <c r="I13" s="25">
        <f t="shared" si="15"/>
        <v>0</v>
      </c>
      <c r="J13" s="25">
        <f t="shared" si="15"/>
        <v>0</v>
      </c>
      <c r="K13" s="25">
        <f t="shared" si="15"/>
        <v>0</v>
      </c>
      <c r="L13" s="25">
        <f t="shared" si="15"/>
        <v>0</v>
      </c>
      <c r="M13" s="25">
        <f t="shared" si="15"/>
        <v>311436</v>
      </c>
      <c r="N13" s="25">
        <f t="shared" si="15"/>
        <v>194743.63</v>
      </c>
      <c r="O13" s="26">
        <f t="shared" si="1"/>
        <v>0.62530866694922871</v>
      </c>
      <c r="P13" s="25">
        <f>P127</f>
        <v>0</v>
      </c>
      <c r="Q13" s="26">
        <f t="shared" si="2"/>
        <v>0</v>
      </c>
      <c r="R13" s="25">
        <f>R127</f>
        <v>0</v>
      </c>
      <c r="S13" s="26">
        <f t="shared" si="3"/>
        <v>0</v>
      </c>
      <c r="T13" s="25">
        <f>T127</f>
        <v>0</v>
      </c>
      <c r="U13" s="26">
        <f t="shared" si="4"/>
        <v>0</v>
      </c>
      <c r="V13" s="25">
        <f t="shared" si="14"/>
        <v>0</v>
      </c>
      <c r="W13" s="25">
        <f t="shared" si="14"/>
        <v>0</v>
      </c>
    </row>
    <row r="14" spans="1:23" ht="13.9" customHeight="1" x14ac:dyDescent="0.25">
      <c r="A14" s="14"/>
      <c r="B14" s="24">
        <v>71</v>
      </c>
      <c r="C14" s="24" t="s">
        <v>24</v>
      </c>
      <c r="D14" s="25">
        <f t="shared" ref="D14:N14" si="16">D128</f>
        <v>30067.64</v>
      </c>
      <c r="E14" s="25">
        <f t="shared" si="16"/>
        <v>49900</v>
      </c>
      <c r="F14" s="25">
        <f t="shared" si="16"/>
        <v>6000</v>
      </c>
      <c r="G14" s="25">
        <f t="shared" si="16"/>
        <v>22418</v>
      </c>
      <c r="H14" s="25">
        <f t="shared" si="16"/>
        <v>1750</v>
      </c>
      <c r="I14" s="25">
        <f t="shared" si="16"/>
        <v>10510</v>
      </c>
      <c r="J14" s="25">
        <f t="shared" si="16"/>
        <v>0</v>
      </c>
      <c r="K14" s="25">
        <f t="shared" si="16"/>
        <v>0</v>
      </c>
      <c r="L14" s="25">
        <f t="shared" si="16"/>
        <v>0</v>
      </c>
      <c r="M14" s="25">
        <f t="shared" si="16"/>
        <v>12260</v>
      </c>
      <c r="N14" s="25">
        <f t="shared" si="16"/>
        <v>10510</v>
      </c>
      <c r="O14" s="26">
        <f t="shared" si="1"/>
        <v>0.85725938009787928</v>
      </c>
      <c r="P14" s="25">
        <f>P128</f>
        <v>0</v>
      </c>
      <c r="Q14" s="26">
        <f t="shared" si="2"/>
        <v>0</v>
      </c>
      <c r="R14" s="25">
        <f>R128</f>
        <v>0</v>
      </c>
      <c r="S14" s="26">
        <f t="shared" si="3"/>
        <v>0</v>
      </c>
      <c r="T14" s="25">
        <f>T128</f>
        <v>0</v>
      </c>
      <c r="U14" s="26">
        <f t="shared" si="4"/>
        <v>0</v>
      </c>
      <c r="V14" s="25">
        <f t="shared" si="14"/>
        <v>0</v>
      </c>
      <c r="W14" s="25">
        <f t="shared" si="14"/>
        <v>0</v>
      </c>
    </row>
    <row r="15" spans="1:23" ht="13.9" customHeight="1" x14ac:dyDescent="0.25">
      <c r="A15" s="14"/>
      <c r="B15" s="24">
        <v>72</v>
      </c>
      <c r="C15" s="24" t="s">
        <v>25</v>
      </c>
      <c r="D15" s="25">
        <f t="shared" ref="D15:N15" si="17">D129</f>
        <v>0</v>
      </c>
      <c r="E15" s="25">
        <f t="shared" si="17"/>
        <v>0</v>
      </c>
      <c r="F15" s="25">
        <f t="shared" si="17"/>
        <v>0</v>
      </c>
      <c r="G15" s="25">
        <f t="shared" si="17"/>
        <v>16850</v>
      </c>
      <c r="H15" s="25">
        <f t="shared" si="17"/>
        <v>0</v>
      </c>
      <c r="I15" s="25">
        <f t="shared" si="17"/>
        <v>41529</v>
      </c>
      <c r="J15" s="25">
        <f t="shared" si="17"/>
        <v>0</v>
      </c>
      <c r="K15" s="25">
        <f t="shared" si="17"/>
        <v>0</v>
      </c>
      <c r="L15" s="25">
        <f t="shared" si="17"/>
        <v>0</v>
      </c>
      <c r="M15" s="25">
        <f t="shared" si="17"/>
        <v>41529</v>
      </c>
      <c r="N15" s="25">
        <f t="shared" si="17"/>
        <v>23747.599999999999</v>
      </c>
      <c r="O15" s="26">
        <f t="shared" si="1"/>
        <v>0.57183173204266891</v>
      </c>
      <c r="P15" s="25">
        <f>P129</f>
        <v>0</v>
      </c>
      <c r="Q15" s="26">
        <f t="shared" si="2"/>
        <v>0</v>
      </c>
      <c r="R15" s="25">
        <f>R129</f>
        <v>0</v>
      </c>
      <c r="S15" s="26">
        <f t="shared" si="3"/>
        <v>0</v>
      </c>
      <c r="T15" s="25">
        <f>T129</f>
        <v>0</v>
      </c>
      <c r="U15" s="26">
        <f t="shared" si="4"/>
        <v>0</v>
      </c>
      <c r="V15" s="25">
        <f t="shared" si="14"/>
        <v>0</v>
      </c>
      <c r="W15" s="25">
        <f t="shared" si="14"/>
        <v>0</v>
      </c>
    </row>
    <row r="16" spans="1:23" ht="13.9" customHeight="1" x14ac:dyDescent="0.25">
      <c r="A16" s="14"/>
      <c r="B16" s="24"/>
      <c r="C16" s="27" t="s">
        <v>28</v>
      </c>
      <c r="D16" s="28">
        <f t="shared" ref="D16:N16" si="18">SUM(D12:D15)</f>
        <v>174815.09999999998</v>
      </c>
      <c r="E16" s="28">
        <f t="shared" si="18"/>
        <v>451051.94999999995</v>
      </c>
      <c r="F16" s="28">
        <f t="shared" si="18"/>
        <v>333532</v>
      </c>
      <c r="G16" s="28">
        <f t="shared" si="18"/>
        <v>655084</v>
      </c>
      <c r="H16" s="28">
        <f t="shared" si="18"/>
        <v>313186</v>
      </c>
      <c r="I16" s="28">
        <f t="shared" si="18"/>
        <v>145324</v>
      </c>
      <c r="J16" s="28">
        <f t="shared" si="18"/>
        <v>0</v>
      </c>
      <c r="K16" s="28">
        <f t="shared" si="18"/>
        <v>0</v>
      </c>
      <c r="L16" s="28">
        <f t="shared" si="18"/>
        <v>0</v>
      </c>
      <c r="M16" s="28">
        <f t="shared" si="18"/>
        <v>458510</v>
      </c>
      <c r="N16" s="28">
        <f t="shared" si="18"/>
        <v>322285.13</v>
      </c>
      <c r="O16" s="29">
        <f t="shared" si="1"/>
        <v>0.70289662166583067</v>
      </c>
      <c r="P16" s="28">
        <f>SUM(P12:P15)</f>
        <v>0</v>
      </c>
      <c r="Q16" s="29">
        <f t="shared" si="2"/>
        <v>0</v>
      </c>
      <c r="R16" s="28">
        <f>SUM(R12:R15)</f>
        <v>0</v>
      </c>
      <c r="S16" s="29">
        <f t="shared" si="3"/>
        <v>0</v>
      </c>
      <c r="T16" s="28">
        <f>SUM(T12:T15)</f>
        <v>0</v>
      </c>
      <c r="U16" s="29">
        <f t="shared" si="4"/>
        <v>0</v>
      </c>
      <c r="V16" s="28">
        <f>SUM(V12:V15)</f>
        <v>0</v>
      </c>
      <c r="W16" s="28">
        <f>SUM(W12:W15)</f>
        <v>0</v>
      </c>
    </row>
    <row r="17" spans="1:23" ht="13.9" customHeight="1" x14ac:dyDescent="0.25">
      <c r="A17" s="14"/>
      <c r="B17" s="24">
        <v>111</v>
      </c>
      <c r="C17" s="24" t="s">
        <v>22</v>
      </c>
      <c r="D17" s="25">
        <f t="shared" ref="D17:N17" si="19">D3+D8+D12</f>
        <v>1521611.4300000004</v>
      </c>
      <c r="E17" s="25">
        <f t="shared" si="19"/>
        <v>1626932.49</v>
      </c>
      <c r="F17" s="25">
        <f t="shared" si="19"/>
        <v>2256557</v>
      </c>
      <c r="G17" s="25">
        <f t="shared" si="19"/>
        <v>1979047</v>
      </c>
      <c r="H17" s="25">
        <f t="shared" si="19"/>
        <v>4297358</v>
      </c>
      <c r="I17" s="25">
        <f t="shared" si="19"/>
        <v>260761</v>
      </c>
      <c r="J17" s="25">
        <f t="shared" si="19"/>
        <v>0</v>
      </c>
      <c r="K17" s="25">
        <f t="shared" si="19"/>
        <v>0</v>
      </c>
      <c r="L17" s="25">
        <f t="shared" si="19"/>
        <v>0</v>
      </c>
      <c r="M17" s="25">
        <f t="shared" si="19"/>
        <v>4558119</v>
      </c>
      <c r="N17" s="25">
        <f t="shared" si="19"/>
        <v>521751.87999999989</v>
      </c>
      <c r="O17" s="26">
        <f t="shared" si="1"/>
        <v>0.11446648935668417</v>
      </c>
      <c r="P17" s="25">
        <f>P3+P8+P12</f>
        <v>0</v>
      </c>
      <c r="Q17" s="26">
        <f t="shared" si="2"/>
        <v>0</v>
      </c>
      <c r="R17" s="25">
        <f>R3+R8+R12</f>
        <v>0</v>
      </c>
      <c r="S17" s="26">
        <f t="shared" si="3"/>
        <v>0</v>
      </c>
      <c r="T17" s="25">
        <f>T3+T8+T12</f>
        <v>0</v>
      </c>
      <c r="U17" s="26">
        <f t="shared" si="4"/>
        <v>0</v>
      </c>
      <c r="V17" s="25">
        <f t="shared" ref="V17:W19" si="20">V3+V8+V12</f>
        <v>1531565</v>
      </c>
      <c r="W17" s="25">
        <f t="shared" si="20"/>
        <v>1545326</v>
      </c>
    </row>
    <row r="18" spans="1:23" ht="13.9" customHeight="1" x14ac:dyDescent="0.25">
      <c r="A18" s="14"/>
      <c r="B18" s="24">
        <v>41</v>
      </c>
      <c r="C18" s="24" t="s">
        <v>23</v>
      </c>
      <c r="D18" s="25">
        <f t="shared" ref="D18:N18" si="21">D4+D9+D13</f>
        <v>1670154.24</v>
      </c>
      <c r="E18" s="25">
        <f t="shared" si="21"/>
        <v>1645076.8499999999</v>
      </c>
      <c r="F18" s="25">
        <f t="shared" si="21"/>
        <v>1547248</v>
      </c>
      <c r="G18" s="25">
        <f t="shared" si="21"/>
        <v>1841276</v>
      </c>
      <c r="H18" s="25">
        <f t="shared" si="21"/>
        <v>1855328</v>
      </c>
      <c r="I18" s="25">
        <f t="shared" si="21"/>
        <v>397</v>
      </c>
      <c r="J18" s="25">
        <f t="shared" si="21"/>
        <v>0</v>
      </c>
      <c r="K18" s="25">
        <f t="shared" si="21"/>
        <v>0</v>
      </c>
      <c r="L18" s="25">
        <f t="shared" si="21"/>
        <v>0</v>
      </c>
      <c r="M18" s="25">
        <f t="shared" si="21"/>
        <v>1855725</v>
      </c>
      <c r="N18" s="25">
        <f t="shared" si="21"/>
        <v>605877.61</v>
      </c>
      <c r="O18" s="26">
        <f t="shared" si="1"/>
        <v>0.3264910533618936</v>
      </c>
      <c r="P18" s="25">
        <f>P4+P9+P13</f>
        <v>0</v>
      </c>
      <c r="Q18" s="26">
        <f t="shared" si="2"/>
        <v>0</v>
      </c>
      <c r="R18" s="25">
        <f>R4+R9+R13</f>
        <v>0</v>
      </c>
      <c r="S18" s="26">
        <f t="shared" si="3"/>
        <v>0</v>
      </c>
      <c r="T18" s="25">
        <f>T4+T9+T13</f>
        <v>0</v>
      </c>
      <c r="U18" s="26">
        <f t="shared" si="4"/>
        <v>0</v>
      </c>
      <c r="V18" s="25">
        <f t="shared" si="20"/>
        <v>1581333</v>
      </c>
      <c r="W18" s="25">
        <f t="shared" si="20"/>
        <v>1648237</v>
      </c>
    </row>
    <row r="19" spans="1:23" ht="13.9" customHeight="1" x14ac:dyDescent="0.25">
      <c r="A19" s="14"/>
      <c r="B19" s="24">
        <v>71</v>
      </c>
      <c r="C19" s="24" t="s">
        <v>24</v>
      </c>
      <c r="D19" s="25">
        <f t="shared" ref="D19:N19" si="22">D5+D10+D14</f>
        <v>33067.64</v>
      </c>
      <c r="E19" s="25">
        <f t="shared" si="22"/>
        <v>52900</v>
      </c>
      <c r="F19" s="25">
        <f t="shared" si="22"/>
        <v>15000</v>
      </c>
      <c r="G19" s="25">
        <f t="shared" si="22"/>
        <v>31418</v>
      </c>
      <c r="H19" s="25">
        <f t="shared" si="22"/>
        <v>4750</v>
      </c>
      <c r="I19" s="25">
        <f t="shared" si="22"/>
        <v>10510</v>
      </c>
      <c r="J19" s="25">
        <f t="shared" si="22"/>
        <v>0</v>
      </c>
      <c r="K19" s="25">
        <f t="shared" si="22"/>
        <v>0</v>
      </c>
      <c r="L19" s="25">
        <f t="shared" si="22"/>
        <v>0</v>
      </c>
      <c r="M19" s="25">
        <f t="shared" si="22"/>
        <v>15260</v>
      </c>
      <c r="N19" s="25">
        <f t="shared" si="22"/>
        <v>10510</v>
      </c>
      <c r="O19" s="26">
        <f t="shared" si="1"/>
        <v>0.68872870249017037</v>
      </c>
      <c r="P19" s="25">
        <f>P5+P10+P14</f>
        <v>0</v>
      </c>
      <c r="Q19" s="26">
        <f t="shared" si="2"/>
        <v>0</v>
      </c>
      <c r="R19" s="25">
        <f>R5+R10+R14</f>
        <v>0</v>
      </c>
      <c r="S19" s="26">
        <f t="shared" si="3"/>
        <v>0</v>
      </c>
      <c r="T19" s="25">
        <f>T5+T10+T14</f>
        <v>0</v>
      </c>
      <c r="U19" s="26">
        <f t="shared" si="4"/>
        <v>0</v>
      </c>
      <c r="V19" s="25">
        <f t="shared" si="20"/>
        <v>3000</v>
      </c>
      <c r="W19" s="25">
        <f t="shared" si="20"/>
        <v>3000</v>
      </c>
    </row>
    <row r="20" spans="1:23" ht="13.9" customHeight="1" x14ac:dyDescent="0.25">
      <c r="A20" s="14"/>
      <c r="B20" s="24">
        <v>72</v>
      </c>
      <c r="C20" s="24" t="s">
        <v>25</v>
      </c>
      <c r="D20" s="25">
        <f t="shared" ref="D20:N20" si="23">D6+D15</f>
        <v>106433.95</v>
      </c>
      <c r="E20" s="25">
        <f t="shared" si="23"/>
        <v>95193.46</v>
      </c>
      <c r="F20" s="25">
        <f t="shared" si="23"/>
        <v>94143</v>
      </c>
      <c r="G20" s="25">
        <f t="shared" si="23"/>
        <v>114528</v>
      </c>
      <c r="H20" s="25">
        <f t="shared" si="23"/>
        <v>96229</v>
      </c>
      <c r="I20" s="25">
        <f t="shared" si="23"/>
        <v>46789</v>
      </c>
      <c r="J20" s="25">
        <f t="shared" si="23"/>
        <v>0</v>
      </c>
      <c r="K20" s="25">
        <f t="shared" si="23"/>
        <v>0</v>
      </c>
      <c r="L20" s="25">
        <f t="shared" si="23"/>
        <v>0</v>
      </c>
      <c r="M20" s="25">
        <f t="shared" si="23"/>
        <v>143018</v>
      </c>
      <c r="N20" s="25">
        <f t="shared" si="23"/>
        <v>55764.22</v>
      </c>
      <c r="O20" s="26">
        <f t="shared" si="1"/>
        <v>0.3899105007761261</v>
      </c>
      <c r="P20" s="25">
        <f>P6+P15</f>
        <v>0</v>
      </c>
      <c r="Q20" s="26">
        <f t="shared" si="2"/>
        <v>0</v>
      </c>
      <c r="R20" s="25">
        <f>R6+R15</f>
        <v>0</v>
      </c>
      <c r="S20" s="26">
        <f t="shared" si="3"/>
        <v>0</v>
      </c>
      <c r="T20" s="25">
        <f>T6+T15</f>
        <v>0</v>
      </c>
      <c r="U20" s="26">
        <f t="shared" si="4"/>
        <v>0</v>
      </c>
      <c r="V20" s="25">
        <f>V6+V15</f>
        <v>97124</v>
      </c>
      <c r="W20" s="25">
        <f>W6+W15</f>
        <v>97124</v>
      </c>
    </row>
    <row r="21" spans="1:23" ht="13.9" customHeight="1" x14ac:dyDescent="0.25">
      <c r="A21" s="30"/>
      <c r="B21" s="31"/>
      <c r="C21" s="27" t="s">
        <v>29</v>
      </c>
      <c r="D21" s="28">
        <f t="shared" ref="D21:N21" si="24">SUM(D17:D20)</f>
        <v>3331267.2600000007</v>
      </c>
      <c r="E21" s="28">
        <f t="shared" si="24"/>
        <v>3420102.8</v>
      </c>
      <c r="F21" s="28">
        <f t="shared" si="24"/>
        <v>3912948</v>
      </c>
      <c r="G21" s="28">
        <f t="shared" si="24"/>
        <v>3966269</v>
      </c>
      <c r="H21" s="28">
        <f t="shared" si="24"/>
        <v>6253665</v>
      </c>
      <c r="I21" s="28">
        <f t="shared" si="24"/>
        <v>318457</v>
      </c>
      <c r="J21" s="28">
        <f t="shared" si="24"/>
        <v>0</v>
      </c>
      <c r="K21" s="28">
        <f t="shared" si="24"/>
        <v>0</v>
      </c>
      <c r="L21" s="28">
        <f t="shared" si="24"/>
        <v>0</v>
      </c>
      <c r="M21" s="28">
        <f t="shared" si="24"/>
        <v>6572122</v>
      </c>
      <c r="N21" s="28">
        <f t="shared" si="24"/>
        <v>1193903.7099999997</v>
      </c>
      <c r="O21" s="29">
        <f t="shared" si="1"/>
        <v>0.18166183007558284</v>
      </c>
      <c r="P21" s="28">
        <f>SUM(P17:P20)</f>
        <v>0</v>
      </c>
      <c r="Q21" s="29">
        <f t="shared" si="2"/>
        <v>0</v>
      </c>
      <c r="R21" s="28">
        <f>SUM(R17:R20)</f>
        <v>0</v>
      </c>
      <c r="S21" s="29">
        <f t="shared" si="3"/>
        <v>0</v>
      </c>
      <c r="T21" s="28">
        <f>SUM(T17:T20)</f>
        <v>0</v>
      </c>
      <c r="U21" s="29">
        <f t="shared" si="4"/>
        <v>0</v>
      </c>
      <c r="V21" s="28">
        <f>SUM(V17:V20)</f>
        <v>3213022</v>
      </c>
      <c r="W21" s="28">
        <f>SUM(W17:W20)</f>
        <v>3293687</v>
      </c>
    </row>
    <row r="23" spans="1:23" ht="13.9" customHeight="1" x14ac:dyDescent="0.25">
      <c r="A23" s="32" t="s">
        <v>30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2"/>
      <c r="Q23" s="32"/>
      <c r="R23" s="32"/>
      <c r="S23" s="32"/>
      <c r="T23" s="32"/>
      <c r="U23" s="32"/>
      <c r="V23" s="32"/>
      <c r="W23" s="32"/>
    </row>
    <row r="24" spans="1:23" ht="13.9" customHeight="1" x14ac:dyDescent="0.25">
      <c r="A24" s="20"/>
      <c r="B24" s="20"/>
      <c r="C24" s="20"/>
      <c r="D24" s="21" t="s">
        <v>1</v>
      </c>
      <c r="E24" s="21" t="s">
        <v>2</v>
      </c>
      <c r="F24" s="21" t="s">
        <v>3</v>
      </c>
      <c r="G24" s="21" t="s">
        <v>4</v>
      </c>
      <c r="H24" s="21" t="s">
        <v>5</v>
      </c>
      <c r="I24" s="21" t="s">
        <v>6</v>
      </c>
      <c r="J24" s="21" t="s">
        <v>7</v>
      </c>
      <c r="K24" s="21" t="s">
        <v>8</v>
      </c>
      <c r="L24" s="21" t="s">
        <v>9</v>
      </c>
      <c r="M24" s="21" t="s">
        <v>10</v>
      </c>
      <c r="N24" s="21" t="s">
        <v>11</v>
      </c>
      <c r="O24" s="22" t="s">
        <v>12</v>
      </c>
      <c r="P24" s="21" t="s">
        <v>13</v>
      </c>
      <c r="Q24" s="22" t="s">
        <v>14</v>
      </c>
      <c r="R24" s="21" t="s">
        <v>15</v>
      </c>
      <c r="S24" s="22" t="s">
        <v>16</v>
      </c>
      <c r="T24" s="21" t="s">
        <v>17</v>
      </c>
      <c r="U24" s="22" t="s">
        <v>18</v>
      </c>
      <c r="V24" s="21" t="s">
        <v>19</v>
      </c>
      <c r="W24" s="21" t="s">
        <v>20</v>
      </c>
    </row>
    <row r="25" spans="1:23" ht="13.9" customHeight="1" x14ac:dyDescent="0.25">
      <c r="A25" s="34" t="s">
        <v>21</v>
      </c>
      <c r="B25" s="35">
        <v>41</v>
      </c>
      <c r="C25" s="35" t="s">
        <v>23</v>
      </c>
      <c r="D25" s="36">
        <f t="shared" ref="D25:N25" si="25">D38</f>
        <v>1438143.04</v>
      </c>
      <c r="E25" s="36">
        <f t="shared" si="25"/>
        <v>1462084.21</v>
      </c>
      <c r="F25" s="36">
        <f t="shared" si="25"/>
        <v>1269078</v>
      </c>
      <c r="G25" s="36">
        <f t="shared" si="25"/>
        <v>1307724</v>
      </c>
      <c r="H25" s="36">
        <f t="shared" si="25"/>
        <v>1414507</v>
      </c>
      <c r="I25" s="36">
        <f t="shared" si="25"/>
        <v>0</v>
      </c>
      <c r="J25" s="36">
        <f t="shared" si="25"/>
        <v>0</v>
      </c>
      <c r="K25" s="36">
        <f t="shared" si="25"/>
        <v>0</v>
      </c>
      <c r="L25" s="36">
        <f t="shared" si="25"/>
        <v>0</v>
      </c>
      <c r="M25" s="36">
        <f t="shared" si="25"/>
        <v>1414507</v>
      </c>
      <c r="N25" s="36">
        <f t="shared" si="25"/>
        <v>382367.6</v>
      </c>
      <c r="O25" s="37">
        <f>N25/$M25</f>
        <v>0.27031863398343026</v>
      </c>
      <c r="P25" s="36">
        <f>P38</f>
        <v>0</v>
      </c>
      <c r="Q25" s="37">
        <f>P25/$M25</f>
        <v>0</v>
      </c>
      <c r="R25" s="36">
        <f>R38</f>
        <v>0</v>
      </c>
      <c r="S25" s="37">
        <f>R25/$M25</f>
        <v>0</v>
      </c>
      <c r="T25" s="36">
        <f>T38</f>
        <v>0</v>
      </c>
      <c r="U25" s="37">
        <f>T25/$M25</f>
        <v>0</v>
      </c>
      <c r="V25" s="36">
        <f>V38</f>
        <v>1451948</v>
      </c>
      <c r="W25" s="36">
        <f>W38</f>
        <v>1518852</v>
      </c>
    </row>
    <row r="26" spans="1:23" ht="13.9" customHeight="1" x14ac:dyDescent="0.25">
      <c r="A26" s="30"/>
      <c r="B26" s="31"/>
      <c r="C26" s="38" t="s">
        <v>29</v>
      </c>
      <c r="D26" s="39">
        <f t="shared" ref="D26:N26" si="26">SUM(D25)</f>
        <v>1438143.04</v>
      </c>
      <c r="E26" s="39">
        <f t="shared" si="26"/>
        <v>1462084.21</v>
      </c>
      <c r="F26" s="39">
        <f t="shared" si="26"/>
        <v>1269078</v>
      </c>
      <c r="G26" s="39">
        <f t="shared" si="26"/>
        <v>1307724</v>
      </c>
      <c r="H26" s="39">
        <f t="shared" si="26"/>
        <v>1414507</v>
      </c>
      <c r="I26" s="39">
        <f t="shared" si="26"/>
        <v>0</v>
      </c>
      <c r="J26" s="39">
        <f t="shared" si="26"/>
        <v>0</v>
      </c>
      <c r="K26" s="39">
        <f t="shared" si="26"/>
        <v>0</v>
      </c>
      <c r="L26" s="39">
        <f t="shared" si="26"/>
        <v>0</v>
      </c>
      <c r="M26" s="39">
        <f t="shared" si="26"/>
        <v>1414507</v>
      </c>
      <c r="N26" s="39">
        <f t="shared" si="26"/>
        <v>382367.6</v>
      </c>
      <c r="O26" s="40">
        <f>N26/$M26</f>
        <v>0.27031863398343026</v>
      </c>
      <c r="P26" s="39">
        <f>SUM(P25)</f>
        <v>0</v>
      </c>
      <c r="Q26" s="40">
        <f>P26/$M26</f>
        <v>0</v>
      </c>
      <c r="R26" s="39">
        <f>SUM(R25)</f>
        <v>0</v>
      </c>
      <c r="S26" s="40">
        <f>R26/$M26</f>
        <v>0</v>
      </c>
      <c r="T26" s="39">
        <f>SUM(T25)</f>
        <v>0</v>
      </c>
      <c r="U26" s="40">
        <f>T26/$M26</f>
        <v>0</v>
      </c>
      <c r="V26" s="39">
        <f>SUM(V25)</f>
        <v>1451948</v>
      </c>
      <c r="W26" s="39">
        <f>SUM(W25)</f>
        <v>1518852</v>
      </c>
    </row>
    <row r="28" spans="1:23" ht="13.9" customHeight="1" x14ac:dyDescent="0.25">
      <c r="A28" s="41" t="s">
        <v>31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/>
      <c r="P28" s="41"/>
      <c r="Q28" s="41"/>
      <c r="R28" s="41"/>
      <c r="S28" s="41"/>
      <c r="T28" s="41"/>
      <c r="U28" s="41"/>
      <c r="V28" s="41"/>
      <c r="W28" s="41"/>
    </row>
    <row r="29" spans="1:23" ht="13.9" customHeight="1" x14ac:dyDescent="0.25">
      <c r="A29" s="21" t="s">
        <v>32</v>
      </c>
      <c r="B29" s="21" t="s">
        <v>33</v>
      </c>
      <c r="C29" s="21" t="s">
        <v>34</v>
      </c>
      <c r="D29" s="21" t="s">
        <v>1</v>
      </c>
      <c r="E29" s="21" t="s">
        <v>2</v>
      </c>
      <c r="F29" s="21" t="s">
        <v>3</v>
      </c>
      <c r="G29" s="21" t="s">
        <v>4</v>
      </c>
      <c r="H29" s="21" t="s">
        <v>5</v>
      </c>
      <c r="I29" s="21" t="s">
        <v>6</v>
      </c>
      <c r="J29" s="21" t="s">
        <v>7</v>
      </c>
      <c r="K29" s="21" t="s">
        <v>8</v>
      </c>
      <c r="L29" s="21" t="s">
        <v>9</v>
      </c>
      <c r="M29" s="21" t="s">
        <v>10</v>
      </c>
      <c r="N29" s="21" t="s">
        <v>11</v>
      </c>
      <c r="O29" s="22" t="s">
        <v>12</v>
      </c>
      <c r="P29" s="21" t="s">
        <v>13</v>
      </c>
      <c r="Q29" s="22" t="s">
        <v>14</v>
      </c>
      <c r="R29" s="21" t="s">
        <v>15</v>
      </c>
      <c r="S29" s="22" t="s">
        <v>16</v>
      </c>
      <c r="T29" s="21" t="s">
        <v>17</v>
      </c>
      <c r="U29" s="22" t="s">
        <v>18</v>
      </c>
      <c r="V29" s="21" t="s">
        <v>19</v>
      </c>
      <c r="W29" s="21" t="s">
        <v>20</v>
      </c>
    </row>
    <row r="30" spans="1:23" ht="13.9" customHeight="1" x14ac:dyDescent="0.25">
      <c r="A30" s="13" t="s">
        <v>35</v>
      </c>
      <c r="B30" s="24">
        <v>111003</v>
      </c>
      <c r="C30" s="24" t="s">
        <v>36</v>
      </c>
      <c r="D30" s="25">
        <v>1317161.19</v>
      </c>
      <c r="E30" s="25">
        <v>1300797.3400000001</v>
      </c>
      <c r="F30" s="25">
        <v>1111878</v>
      </c>
      <c r="G30" s="25">
        <v>1112830</v>
      </c>
      <c r="H30" s="25">
        <v>1219607</v>
      </c>
      <c r="I30" s="25"/>
      <c r="J30" s="25"/>
      <c r="K30" s="25"/>
      <c r="L30" s="25"/>
      <c r="M30" s="25">
        <f t="shared" ref="M30:M37" si="27">H30+SUM(I30:L30)</f>
        <v>1219607</v>
      </c>
      <c r="N30" s="25">
        <v>376645.74</v>
      </c>
      <c r="O30" s="26">
        <f t="shared" ref="O30:O38" si="28">IFERROR(N30/$M30,0)</f>
        <v>0.30882549870573062</v>
      </c>
      <c r="P30" s="25"/>
      <c r="Q30" s="26">
        <f t="shared" ref="Q30:Q38" si="29">IFERROR(P30/$M30,0)</f>
        <v>0</v>
      </c>
      <c r="R30" s="25"/>
      <c r="S30" s="26">
        <f t="shared" ref="S30:S38" si="30">IFERROR(R30/$M30,0)</f>
        <v>0</v>
      </c>
      <c r="T30" s="25"/>
      <c r="U30" s="26">
        <f t="shared" ref="U30:U38" si="31">IFERROR(T30/$M30,0)</f>
        <v>0</v>
      </c>
      <c r="V30" s="25">
        <v>1257048</v>
      </c>
      <c r="W30" s="25">
        <v>1323952</v>
      </c>
    </row>
    <row r="31" spans="1:23" ht="13.9" customHeight="1" x14ac:dyDescent="0.25">
      <c r="A31" s="13"/>
      <c r="B31" s="24">
        <v>121001</v>
      </c>
      <c r="C31" s="24" t="s">
        <v>37</v>
      </c>
      <c r="D31" s="25">
        <v>13255.73</v>
      </c>
      <c r="E31" s="25">
        <v>25080.62</v>
      </c>
      <c r="F31" s="25">
        <v>18700</v>
      </c>
      <c r="G31" s="25">
        <v>32797</v>
      </c>
      <c r="H31" s="25">
        <v>32800</v>
      </c>
      <c r="I31" s="25"/>
      <c r="J31" s="25"/>
      <c r="K31" s="25"/>
      <c r="L31" s="25"/>
      <c r="M31" s="25">
        <f t="shared" si="27"/>
        <v>32800</v>
      </c>
      <c r="N31" s="25">
        <v>271.61</v>
      </c>
      <c r="O31" s="26">
        <f t="shared" si="28"/>
        <v>8.28079268292683E-3</v>
      </c>
      <c r="P31" s="25"/>
      <c r="Q31" s="26">
        <f t="shared" si="29"/>
        <v>0</v>
      </c>
      <c r="R31" s="25"/>
      <c r="S31" s="26">
        <f t="shared" si="30"/>
        <v>0</v>
      </c>
      <c r="T31" s="25"/>
      <c r="U31" s="26">
        <f t="shared" si="31"/>
        <v>0</v>
      </c>
      <c r="V31" s="25">
        <f t="shared" ref="V31:V37" si="32">H31</f>
        <v>32800</v>
      </c>
      <c r="W31" s="25">
        <f t="shared" ref="W31:W37" si="33">V31</f>
        <v>32800</v>
      </c>
    </row>
    <row r="32" spans="1:23" ht="13.9" customHeight="1" x14ac:dyDescent="0.25">
      <c r="A32" s="13"/>
      <c r="B32" s="24">
        <v>121002</v>
      </c>
      <c r="C32" s="24" t="s">
        <v>38</v>
      </c>
      <c r="D32" s="25">
        <v>23618.99</v>
      </c>
      <c r="E32" s="25">
        <v>31854.01</v>
      </c>
      <c r="F32" s="25">
        <v>33400</v>
      </c>
      <c r="G32" s="25">
        <v>35357</v>
      </c>
      <c r="H32" s="25">
        <v>35400</v>
      </c>
      <c r="I32" s="25"/>
      <c r="J32" s="25"/>
      <c r="K32" s="25"/>
      <c r="L32" s="25"/>
      <c r="M32" s="25">
        <f t="shared" si="27"/>
        <v>35400</v>
      </c>
      <c r="N32" s="25">
        <v>1120.26</v>
      </c>
      <c r="O32" s="26">
        <f t="shared" si="28"/>
        <v>3.1645762711864409E-2</v>
      </c>
      <c r="P32" s="25"/>
      <c r="Q32" s="26">
        <f t="shared" si="29"/>
        <v>0</v>
      </c>
      <c r="R32" s="25"/>
      <c r="S32" s="26">
        <f t="shared" si="30"/>
        <v>0</v>
      </c>
      <c r="T32" s="25"/>
      <c r="U32" s="26">
        <f t="shared" si="31"/>
        <v>0</v>
      </c>
      <c r="V32" s="25">
        <f t="shared" si="32"/>
        <v>35400</v>
      </c>
      <c r="W32" s="25">
        <f t="shared" si="33"/>
        <v>35400</v>
      </c>
    </row>
    <row r="33" spans="1:64" ht="13.9" customHeight="1" x14ac:dyDescent="0.25">
      <c r="A33" s="13"/>
      <c r="B33" s="24">
        <v>121003</v>
      </c>
      <c r="C33" s="24" t="s">
        <v>39</v>
      </c>
      <c r="D33" s="25">
        <v>94.87</v>
      </c>
      <c r="E33" s="25">
        <v>150.9</v>
      </c>
      <c r="F33" s="25">
        <v>150</v>
      </c>
      <c r="G33" s="25">
        <v>152</v>
      </c>
      <c r="H33" s="25">
        <v>150</v>
      </c>
      <c r="I33" s="25"/>
      <c r="J33" s="25"/>
      <c r="K33" s="25"/>
      <c r="L33" s="25"/>
      <c r="M33" s="25">
        <f t="shared" si="27"/>
        <v>150</v>
      </c>
      <c r="N33" s="25">
        <v>8.6</v>
      </c>
      <c r="O33" s="26">
        <f t="shared" si="28"/>
        <v>5.7333333333333333E-2</v>
      </c>
      <c r="P33" s="25"/>
      <c r="Q33" s="26">
        <f t="shared" si="29"/>
        <v>0</v>
      </c>
      <c r="R33" s="25"/>
      <c r="S33" s="26">
        <f t="shared" si="30"/>
        <v>0</v>
      </c>
      <c r="T33" s="25"/>
      <c r="U33" s="26">
        <f t="shared" si="31"/>
        <v>0</v>
      </c>
      <c r="V33" s="25">
        <f t="shared" si="32"/>
        <v>150</v>
      </c>
      <c r="W33" s="25">
        <f t="shared" si="33"/>
        <v>150</v>
      </c>
    </row>
    <row r="34" spans="1:64" ht="13.9" customHeight="1" x14ac:dyDescent="0.25">
      <c r="A34" s="13"/>
      <c r="B34" s="24">
        <v>133001</v>
      </c>
      <c r="C34" s="24" t="s">
        <v>40</v>
      </c>
      <c r="D34" s="25">
        <v>2289</v>
      </c>
      <c r="E34" s="25">
        <v>2784.22</v>
      </c>
      <c r="F34" s="25">
        <v>2850</v>
      </c>
      <c r="G34" s="25">
        <v>3483</v>
      </c>
      <c r="H34" s="25">
        <v>3500</v>
      </c>
      <c r="I34" s="25"/>
      <c r="J34" s="25"/>
      <c r="K34" s="25"/>
      <c r="L34" s="25"/>
      <c r="M34" s="25">
        <f t="shared" si="27"/>
        <v>3500</v>
      </c>
      <c r="N34" s="25">
        <v>76.75</v>
      </c>
      <c r="O34" s="26">
        <f t="shared" si="28"/>
        <v>2.1928571428571429E-2</v>
      </c>
      <c r="P34" s="25"/>
      <c r="Q34" s="26">
        <f t="shared" si="29"/>
        <v>0</v>
      </c>
      <c r="R34" s="25"/>
      <c r="S34" s="26">
        <f t="shared" si="30"/>
        <v>0</v>
      </c>
      <c r="T34" s="25"/>
      <c r="U34" s="26">
        <f t="shared" si="31"/>
        <v>0</v>
      </c>
      <c r="V34" s="25">
        <f t="shared" si="32"/>
        <v>3500</v>
      </c>
      <c r="W34" s="25">
        <f t="shared" si="33"/>
        <v>3500</v>
      </c>
    </row>
    <row r="35" spans="1:64" ht="13.9" customHeight="1" x14ac:dyDescent="0.25">
      <c r="A35" s="13"/>
      <c r="B35" s="24">
        <v>133006</v>
      </c>
      <c r="C35" s="24" t="s">
        <v>41</v>
      </c>
      <c r="D35" s="25">
        <v>426.9</v>
      </c>
      <c r="E35" s="25">
        <v>1781.7</v>
      </c>
      <c r="F35" s="25">
        <v>1950</v>
      </c>
      <c r="G35" s="25">
        <v>2571</v>
      </c>
      <c r="H35" s="25">
        <v>2600</v>
      </c>
      <c r="I35" s="25"/>
      <c r="J35" s="25"/>
      <c r="K35" s="25"/>
      <c r="L35" s="25"/>
      <c r="M35" s="25">
        <f t="shared" si="27"/>
        <v>2600</v>
      </c>
      <c r="N35" s="25">
        <v>24</v>
      </c>
      <c r="O35" s="26">
        <f t="shared" si="28"/>
        <v>9.2307692307692316E-3</v>
      </c>
      <c r="P35" s="25"/>
      <c r="Q35" s="26">
        <f t="shared" si="29"/>
        <v>0</v>
      </c>
      <c r="R35" s="25"/>
      <c r="S35" s="26">
        <f t="shared" si="30"/>
        <v>0</v>
      </c>
      <c r="T35" s="25"/>
      <c r="U35" s="26">
        <f t="shared" si="31"/>
        <v>0</v>
      </c>
      <c r="V35" s="25">
        <f t="shared" si="32"/>
        <v>2600</v>
      </c>
      <c r="W35" s="25">
        <f t="shared" si="33"/>
        <v>2600</v>
      </c>
    </row>
    <row r="36" spans="1:64" ht="13.9" customHeight="1" x14ac:dyDescent="0.25">
      <c r="A36" s="13"/>
      <c r="B36" s="24">
        <v>133012</v>
      </c>
      <c r="C36" s="24" t="s">
        <v>42</v>
      </c>
      <c r="D36" s="25">
        <v>2839.24</v>
      </c>
      <c r="E36" s="25">
        <v>6202.04</v>
      </c>
      <c r="F36" s="25">
        <v>6500</v>
      </c>
      <c r="G36" s="25">
        <v>4445</v>
      </c>
      <c r="H36" s="25">
        <v>4450</v>
      </c>
      <c r="I36" s="25"/>
      <c r="J36" s="25"/>
      <c r="K36" s="25"/>
      <c r="L36" s="25"/>
      <c r="M36" s="25">
        <f t="shared" si="27"/>
        <v>4450</v>
      </c>
      <c r="N36" s="25">
        <v>59</v>
      </c>
      <c r="O36" s="26">
        <f t="shared" si="28"/>
        <v>1.3258426966292135E-2</v>
      </c>
      <c r="P36" s="25"/>
      <c r="Q36" s="26">
        <f t="shared" si="29"/>
        <v>0</v>
      </c>
      <c r="R36" s="25"/>
      <c r="S36" s="26">
        <f t="shared" si="30"/>
        <v>0</v>
      </c>
      <c r="T36" s="25"/>
      <c r="U36" s="26">
        <f t="shared" si="31"/>
        <v>0</v>
      </c>
      <c r="V36" s="25">
        <f t="shared" si="32"/>
        <v>4450</v>
      </c>
      <c r="W36" s="25">
        <f t="shared" si="33"/>
        <v>4450</v>
      </c>
    </row>
    <row r="37" spans="1:64" ht="13.9" customHeight="1" x14ac:dyDescent="0.25">
      <c r="A37" s="13"/>
      <c r="B37" s="24">
        <v>133013</v>
      </c>
      <c r="C37" s="24" t="s">
        <v>43</v>
      </c>
      <c r="D37" s="25">
        <v>78457.119999999995</v>
      </c>
      <c r="E37" s="25">
        <v>93433.38</v>
      </c>
      <c r="F37" s="25">
        <v>93650</v>
      </c>
      <c r="G37" s="25">
        <v>116089</v>
      </c>
      <c r="H37" s="25">
        <v>116000</v>
      </c>
      <c r="I37" s="25"/>
      <c r="J37" s="25"/>
      <c r="K37" s="25"/>
      <c r="L37" s="25"/>
      <c r="M37" s="25">
        <f t="shared" si="27"/>
        <v>116000</v>
      </c>
      <c r="N37" s="25">
        <v>4161.6400000000003</v>
      </c>
      <c r="O37" s="26">
        <f t="shared" si="28"/>
        <v>3.5876206896551729E-2</v>
      </c>
      <c r="P37" s="25"/>
      <c r="Q37" s="26">
        <f t="shared" si="29"/>
        <v>0</v>
      </c>
      <c r="R37" s="25"/>
      <c r="S37" s="26">
        <f t="shared" si="30"/>
        <v>0</v>
      </c>
      <c r="T37" s="25"/>
      <c r="U37" s="26">
        <f t="shared" si="31"/>
        <v>0</v>
      </c>
      <c r="V37" s="25">
        <f t="shared" si="32"/>
        <v>116000</v>
      </c>
      <c r="W37" s="25">
        <f t="shared" si="33"/>
        <v>116000</v>
      </c>
    </row>
    <row r="38" spans="1:64" ht="13.9" customHeight="1" x14ac:dyDescent="0.25">
      <c r="A38" s="27" t="s">
        <v>21</v>
      </c>
      <c r="B38" s="27">
        <v>41</v>
      </c>
      <c r="C38" s="27" t="s">
        <v>23</v>
      </c>
      <c r="D38" s="28">
        <f t="shared" ref="D38:N38" si="34">SUM(D30:D37)</f>
        <v>1438143.04</v>
      </c>
      <c r="E38" s="28">
        <f t="shared" si="34"/>
        <v>1462084.21</v>
      </c>
      <c r="F38" s="28">
        <f t="shared" si="34"/>
        <v>1269078</v>
      </c>
      <c r="G38" s="28">
        <f t="shared" si="34"/>
        <v>1307724</v>
      </c>
      <c r="H38" s="28">
        <f t="shared" si="34"/>
        <v>1414507</v>
      </c>
      <c r="I38" s="28">
        <f t="shared" si="34"/>
        <v>0</v>
      </c>
      <c r="J38" s="28">
        <f t="shared" si="34"/>
        <v>0</v>
      </c>
      <c r="K38" s="28">
        <f t="shared" si="34"/>
        <v>0</v>
      </c>
      <c r="L38" s="28">
        <f t="shared" si="34"/>
        <v>0</v>
      </c>
      <c r="M38" s="28">
        <f t="shared" si="34"/>
        <v>1414507</v>
      </c>
      <c r="N38" s="28">
        <f t="shared" si="34"/>
        <v>382367.6</v>
      </c>
      <c r="O38" s="29">
        <f t="shared" si="28"/>
        <v>0.27031863398343026</v>
      </c>
      <c r="P38" s="28">
        <f>SUM(P30:P37)</f>
        <v>0</v>
      </c>
      <c r="Q38" s="29">
        <f t="shared" si="29"/>
        <v>0</v>
      </c>
      <c r="R38" s="28">
        <f>SUM(R30:R37)</f>
        <v>0</v>
      </c>
      <c r="S38" s="29">
        <f t="shared" si="30"/>
        <v>0</v>
      </c>
      <c r="T38" s="28">
        <f>SUM(T30:T37)</f>
        <v>0</v>
      </c>
      <c r="U38" s="29">
        <f t="shared" si="31"/>
        <v>0</v>
      </c>
      <c r="V38" s="28">
        <f>SUM(V30:V37)</f>
        <v>1451948</v>
      </c>
      <c r="W38" s="28">
        <f>SUM(W30:W37)</f>
        <v>1518852</v>
      </c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40" spans="1:64" ht="13.9" customHeight="1" x14ac:dyDescent="0.25">
      <c r="A40" s="32" t="s">
        <v>44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  <c r="P40" s="32"/>
      <c r="Q40" s="32"/>
      <c r="R40" s="32"/>
      <c r="S40" s="32"/>
      <c r="T40" s="32"/>
      <c r="U40" s="32"/>
      <c r="V40" s="32"/>
      <c r="W40" s="32"/>
    </row>
    <row r="41" spans="1:64" ht="13.9" customHeight="1" x14ac:dyDescent="0.25">
      <c r="A41" s="20"/>
      <c r="B41" s="20"/>
      <c r="C41" s="20"/>
      <c r="D41" s="21" t="s">
        <v>1</v>
      </c>
      <c r="E41" s="21" t="s">
        <v>2</v>
      </c>
      <c r="F41" s="21" t="s">
        <v>3</v>
      </c>
      <c r="G41" s="21" t="s">
        <v>4</v>
      </c>
      <c r="H41" s="21" t="s">
        <v>5</v>
      </c>
      <c r="I41" s="21" t="s">
        <v>6</v>
      </c>
      <c r="J41" s="21" t="s">
        <v>7</v>
      </c>
      <c r="K41" s="21" t="s">
        <v>8</v>
      </c>
      <c r="L41" s="21" t="s">
        <v>9</v>
      </c>
      <c r="M41" s="21" t="s">
        <v>10</v>
      </c>
      <c r="N41" s="21" t="s">
        <v>11</v>
      </c>
      <c r="O41" s="22" t="s">
        <v>12</v>
      </c>
      <c r="P41" s="21" t="s">
        <v>13</v>
      </c>
      <c r="Q41" s="22" t="s">
        <v>14</v>
      </c>
      <c r="R41" s="21" t="s">
        <v>15</v>
      </c>
      <c r="S41" s="22" t="s">
        <v>16</v>
      </c>
      <c r="T41" s="21" t="s">
        <v>17</v>
      </c>
      <c r="U41" s="22" t="s">
        <v>18</v>
      </c>
      <c r="V41" s="21" t="s">
        <v>19</v>
      </c>
      <c r="W41" s="21" t="s">
        <v>20</v>
      </c>
    </row>
    <row r="42" spans="1:64" ht="13.9" customHeight="1" x14ac:dyDescent="0.25">
      <c r="A42" s="12" t="s">
        <v>21</v>
      </c>
      <c r="B42" s="35">
        <v>111</v>
      </c>
      <c r="C42" s="35" t="s">
        <v>45</v>
      </c>
      <c r="D42" s="36">
        <f t="shared" ref="D42:N42" si="35">D51</f>
        <v>29.25</v>
      </c>
      <c r="E42" s="36">
        <f t="shared" si="35"/>
        <v>4036.38</v>
      </c>
      <c r="F42" s="36">
        <f t="shared" si="35"/>
        <v>0</v>
      </c>
      <c r="G42" s="36">
        <f t="shared" si="35"/>
        <v>735</v>
      </c>
      <c r="H42" s="36">
        <f t="shared" si="35"/>
        <v>0</v>
      </c>
      <c r="I42" s="36">
        <f t="shared" si="35"/>
        <v>35</v>
      </c>
      <c r="J42" s="36">
        <f t="shared" si="35"/>
        <v>0</v>
      </c>
      <c r="K42" s="36">
        <f t="shared" si="35"/>
        <v>0</v>
      </c>
      <c r="L42" s="36">
        <f t="shared" si="35"/>
        <v>0</v>
      </c>
      <c r="M42" s="36">
        <f t="shared" si="35"/>
        <v>35</v>
      </c>
      <c r="N42" s="36">
        <f t="shared" si="35"/>
        <v>34.47</v>
      </c>
      <c r="O42" s="37">
        <f>IFERROR(N42/$M42,0)</f>
        <v>0.98485714285714288</v>
      </c>
      <c r="P42" s="36">
        <f>P51</f>
        <v>0</v>
      </c>
      <c r="Q42" s="37">
        <f>IFERROR(P42/$M42,0)</f>
        <v>0</v>
      </c>
      <c r="R42" s="36">
        <f>R51</f>
        <v>0</v>
      </c>
      <c r="S42" s="37">
        <f>IFERROR(R42/$M42,0)</f>
        <v>0</v>
      </c>
      <c r="T42" s="36">
        <f>T51</f>
        <v>0</v>
      </c>
      <c r="U42" s="37">
        <f>IFERROR(T42/$M42,0)</f>
        <v>0</v>
      </c>
      <c r="V42" s="36">
        <f>V51</f>
        <v>0</v>
      </c>
      <c r="W42" s="36">
        <f>W51</f>
        <v>0</v>
      </c>
    </row>
    <row r="43" spans="1:64" ht="13.9" customHeight="1" x14ac:dyDescent="0.25">
      <c r="A43" s="12" t="s">
        <v>21</v>
      </c>
      <c r="B43" s="35">
        <v>41</v>
      </c>
      <c r="C43" s="35" t="s">
        <v>23</v>
      </c>
      <c r="D43" s="36">
        <f t="shared" ref="D43:N43" si="36">D57</f>
        <v>119589.51000000001</v>
      </c>
      <c r="E43" s="36">
        <f t="shared" si="36"/>
        <v>108791.48000000001</v>
      </c>
      <c r="F43" s="36">
        <f t="shared" si="36"/>
        <v>128170</v>
      </c>
      <c r="G43" s="36">
        <f t="shared" si="36"/>
        <v>137368</v>
      </c>
      <c r="H43" s="36">
        <f t="shared" si="36"/>
        <v>129385</v>
      </c>
      <c r="I43" s="36">
        <f t="shared" si="36"/>
        <v>397</v>
      </c>
      <c r="J43" s="36">
        <f t="shared" si="36"/>
        <v>0</v>
      </c>
      <c r="K43" s="36">
        <f t="shared" si="36"/>
        <v>0</v>
      </c>
      <c r="L43" s="36">
        <f t="shared" si="36"/>
        <v>0</v>
      </c>
      <c r="M43" s="36">
        <f t="shared" si="36"/>
        <v>129782</v>
      </c>
      <c r="N43" s="36">
        <f t="shared" si="36"/>
        <v>28766.38</v>
      </c>
      <c r="O43" s="37">
        <f>IFERROR(N43/$M43,0)</f>
        <v>0.22165153873418503</v>
      </c>
      <c r="P43" s="36">
        <f>P57</f>
        <v>0</v>
      </c>
      <c r="Q43" s="37">
        <f>IFERROR(P43/$M43,0)</f>
        <v>0</v>
      </c>
      <c r="R43" s="36">
        <f>R57</f>
        <v>0</v>
      </c>
      <c r="S43" s="37">
        <f>IFERROR(R43/$M43,0)</f>
        <v>0</v>
      </c>
      <c r="T43" s="36">
        <f>T57</f>
        <v>0</v>
      </c>
      <c r="U43" s="37">
        <f>IFERROR(T43/$M43,0)</f>
        <v>0</v>
      </c>
      <c r="V43" s="36">
        <f>V57</f>
        <v>129385</v>
      </c>
      <c r="W43" s="36">
        <f>W57</f>
        <v>129385</v>
      </c>
    </row>
    <row r="44" spans="1:64" ht="13.9" customHeight="1" x14ac:dyDescent="0.25">
      <c r="A44" s="12"/>
      <c r="B44" s="35">
        <v>72</v>
      </c>
      <c r="C44" s="35" t="s">
        <v>25</v>
      </c>
      <c r="D44" s="36">
        <f t="shared" ref="D44:N44" si="37">D60</f>
        <v>100447.70999999999</v>
      </c>
      <c r="E44" s="36">
        <f t="shared" si="37"/>
        <v>93211.11</v>
      </c>
      <c r="F44" s="36">
        <f t="shared" si="37"/>
        <v>92143</v>
      </c>
      <c r="G44" s="36">
        <f t="shared" si="37"/>
        <v>96115</v>
      </c>
      <c r="H44" s="36">
        <f t="shared" si="37"/>
        <v>94229</v>
      </c>
      <c r="I44" s="36">
        <f t="shared" si="37"/>
        <v>5260</v>
      </c>
      <c r="J44" s="36">
        <f t="shared" si="37"/>
        <v>0</v>
      </c>
      <c r="K44" s="36">
        <f t="shared" si="37"/>
        <v>0</v>
      </c>
      <c r="L44" s="36">
        <f t="shared" si="37"/>
        <v>0</v>
      </c>
      <c r="M44" s="36">
        <f t="shared" si="37"/>
        <v>99489</v>
      </c>
      <c r="N44" s="36">
        <f t="shared" si="37"/>
        <v>32016.620000000003</v>
      </c>
      <c r="O44" s="37">
        <f>IFERROR(N44/$M44,0)</f>
        <v>0.32181065243393747</v>
      </c>
      <c r="P44" s="36">
        <f>P60</f>
        <v>0</v>
      </c>
      <c r="Q44" s="37">
        <f>IFERROR(P44/$M44,0)</f>
        <v>0</v>
      </c>
      <c r="R44" s="36">
        <f>R60</f>
        <v>0</v>
      </c>
      <c r="S44" s="37">
        <f>IFERROR(R44/$M44,0)</f>
        <v>0</v>
      </c>
      <c r="T44" s="36">
        <f>T60</f>
        <v>0</v>
      </c>
      <c r="U44" s="37">
        <f>IFERROR(T44/$M44,0)</f>
        <v>0</v>
      </c>
      <c r="V44" s="36">
        <f>V60</f>
        <v>95124</v>
      </c>
      <c r="W44" s="36">
        <f>W60</f>
        <v>95124</v>
      </c>
    </row>
    <row r="45" spans="1:64" ht="13.9" customHeight="1" x14ac:dyDescent="0.25">
      <c r="A45" s="30"/>
      <c r="B45" s="31"/>
      <c r="C45" s="38" t="s">
        <v>29</v>
      </c>
      <c r="D45" s="39">
        <f t="shared" ref="D45:N45" si="38">SUM(D42:D44)</f>
        <v>220066.47</v>
      </c>
      <c r="E45" s="39">
        <f t="shared" si="38"/>
        <v>206038.97000000003</v>
      </c>
      <c r="F45" s="39">
        <f t="shared" si="38"/>
        <v>220313</v>
      </c>
      <c r="G45" s="39">
        <f t="shared" si="38"/>
        <v>234218</v>
      </c>
      <c r="H45" s="39">
        <f t="shared" si="38"/>
        <v>223614</v>
      </c>
      <c r="I45" s="39">
        <f t="shared" si="38"/>
        <v>5692</v>
      </c>
      <c r="J45" s="39">
        <f t="shared" si="38"/>
        <v>0</v>
      </c>
      <c r="K45" s="39">
        <f t="shared" si="38"/>
        <v>0</v>
      </c>
      <c r="L45" s="39">
        <f t="shared" si="38"/>
        <v>0</v>
      </c>
      <c r="M45" s="39">
        <f t="shared" si="38"/>
        <v>229306</v>
      </c>
      <c r="N45" s="39">
        <f t="shared" si="38"/>
        <v>60817.47</v>
      </c>
      <c r="O45" s="40">
        <f>IFERROR(N45/$M45,0)</f>
        <v>0.26522406740338239</v>
      </c>
      <c r="P45" s="39">
        <f>SUM(P42:P44)</f>
        <v>0</v>
      </c>
      <c r="Q45" s="40">
        <f>IFERROR(P45/$M45,0)</f>
        <v>0</v>
      </c>
      <c r="R45" s="39">
        <f>SUM(R42:R44)</f>
        <v>0</v>
      </c>
      <c r="S45" s="40">
        <f>IFERROR(R45/$M45,0)</f>
        <v>0</v>
      </c>
      <c r="T45" s="39">
        <f>SUM(T42:T44)</f>
        <v>0</v>
      </c>
      <c r="U45" s="40">
        <f>IFERROR(T45/$M45,0)</f>
        <v>0</v>
      </c>
      <c r="V45" s="39">
        <f>SUM(V42:V44)</f>
        <v>224509</v>
      </c>
      <c r="W45" s="39">
        <f>SUM(W42:W44)</f>
        <v>224509</v>
      </c>
    </row>
    <row r="47" spans="1:64" ht="13.9" customHeight="1" x14ac:dyDescent="0.25">
      <c r="A47" s="41" t="s">
        <v>46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2"/>
      <c r="P47" s="41"/>
      <c r="Q47" s="41"/>
      <c r="R47" s="41"/>
      <c r="S47" s="41"/>
      <c r="T47" s="41"/>
      <c r="U47" s="41"/>
      <c r="V47" s="41"/>
      <c r="W47" s="41"/>
    </row>
    <row r="48" spans="1:64" ht="13.9" customHeight="1" x14ac:dyDescent="0.25">
      <c r="A48" s="21" t="s">
        <v>32</v>
      </c>
      <c r="B48" s="21" t="s">
        <v>33</v>
      </c>
      <c r="C48" s="21" t="s">
        <v>34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1" t="s">
        <v>11</v>
      </c>
      <c r="O48" s="22" t="s">
        <v>12</v>
      </c>
      <c r="P48" s="21" t="s">
        <v>13</v>
      </c>
      <c r="Q48" s="22" t="s">
        <v>14</v>
      </c>
      <c r="R48" s="21" t="s">
        <v>15</v>
      </c>
      <c r="S48" s="22" t="s">
        <v>16</v>
      </c>
      <c r="T48" s="21" t="s">
        <v>17</v>
      </c>
      <c r="U48" s="22" t="s">
        <v>18</v>
      </c>
      <c r="V48" s="21" t="s">
        <v>19</v>
      </c>
      <c r="W48" s="21" t="s">
        <v>20</v>
      </c>
    </row>
    <row r="49" spans="1:23" ht="13.9" customHeight="1" x14ac:dyDescent="0.25">
      <c r="A49" s="11" t="s">
        <v>47</v>
      </c>
      <c r="B49" s="24">
        <v>290</v>
      </c>
      <c r="C49" s="24" t="s">
        <v>48</v>
      </c>
      <c r="D49" s="45">
        <v>0</v>
      </c>
      <c r="E49" s="45">
        <v>4036.38</v>
      </c>
      <c r="F49" s="45">
        <v>0</v>
      </c>
      <c r="G49" s="45">
        <v>0</v>
      </c>
      <c r="H49" s="45">
        <v>0</v>
      </c>
      <c r="I49" s="45"/>
      <c r="J49" s="45"/>
      <c r="K49" s="45"/>
      <c r="L49" s="45"/>
      <c r="M49" s="45">
        <f>H49+SUM(I49:L49)</f>
        <v>0</v>
      </c>
      <c r="N49" s="45">
        <v>0</v>
      </c>
      <c r="O49" s="46">
        <f t="shared" ref="O49:O60" si="39">IFERROR(N49/$M49,0)</f>
        <v>0</v>
      </c>
      <c r="P49" s="45"/>
      <c r="Q49" s="46">
        <f t="shared" ref="Q49:Q60" si="40">IFERROR(P49/$M49,0)</f>
        <v>0</v>
      </c>
      <c r="R49" s="45"/>
      <c r="S49" s="46">
        <f t="shared" ref="S49:S60" si="41">IFERROR(R49/$M49,0)</f>
        <v>0</v>
      </c>
      <c r="T49" s="45"/>
      <c r="U49" s="46">
        <f t="shared" ref="U49:U60" si="42">IFERROR(T49/$M49,0)</f>
        <v>0</v>
      </c>
      <c r="V49" s="25">
        <f>H49</f>
        <v>0</v>
      </c>
      <c r="W49" s="25">
        <f>V49</f>
        <v>0</v>
      </c>
    </row>
    <row r="50" spans="1:23" ht="13.9" customHeight="1" x14ac:dyDescent="0.25">
      <c r="A50" s="11"/>
      <c r="B50" s="24" t="s">
        <v>49</v>
      </c>
      <c r="C50" s="24" t="s">
        <v>50</v>
      </c>
      <c r="D50" s="45">
        <v>29.25</v>
      </c>
      <c r="E50" s="45">
        <v>0</v>
      </c>
      <c r="F50" s="45">
        <v>0</v>
      </c>
      <c r="G50" s="45">
        <v>735</v>
      </c>
      <c r="H50" s="45">
        <v>0</v>
      </c>
      <c r="I50" s="45">
        <v>35</v>
      </c>
      <c r="J50" s="45"/>
      <c r="K50" s="45"/>
      <c r="L50" s="45"/>
      <c r="M50" s="45">
        <f>H50+SUM(I50:L50)</f>
        <v>35</v>
      </c>
      <c r="N50" s="45">
        <v>34.47</v>
      </c>
      <c r="O50" s="46">
        <f t="shared" si="39"/>
        <v>0.98485714285714288</v>
      </c>
      <c r="P50" s="45"/>
      <c r="Q50" s="46">
        <f t="shared" si="40"/>
        <v>0</v>
      </c>
      <c r="R50" s="45"/>
      <c r="S50" s="46">
        <f t="shared" si="41"/>
        <v>0</v>
      </c>
      <c r="T50" s="45"/>
      <c r="U50" s="46">
        <f t="shared" si="42"/>
        <v>0</v>
      </c>
      <c r="V50" s="25">
        <f>H50</f>
        <v>0</v>
      </c>
      <c r="W50" s="25">
        <f>V50</f>
        <v>0</v>
      </c>
    </row>
    <row r="51" spans="1:23" ht="13.9" customHeight="1" x14ac:dyDescent="0.25">
      <c r="A51" s="47" t="s">
        <v>21</v>
      </c>
      <c r="B51" s="47">
        <v>111</v>
      </c>
      <c r="C51" s="47" t="s">
        <v>45</v>
      </c>
      <c r="D51" s="48">
        <f>SUM(D50)</f>
        <v>29.25</v>
      </c>
      <c r="E51" s="48">
        <f t="shared" ref="E51:N51" si="43">SUM(E49:E50)</f>
        <v>4036.38</v>
      </c>
      <c r="F51" s="48">
        <f t="shared" si="43"/>
        <v>0</v>
      </c>
      <c r="G51" s="48">
        <f t="shared" si="43"/>
        <v>735</v>
      </c>
      <c r="H51" s="48">
        <f t="shared" si="43"/>
        <v>0</v>
      </c>
      <c r="I51" s="48">
        <f t="shared" si="43"/>
        <v>35</v>
      </c>
      <c r="J51" s="48">
        <f t="shared" si="43"/>
        <v>0</v>
      </c>
      <c r="K51" s="48">
        <f t="shared" si="43"/>
        <v>0</v>
      </c>
      <c r="L51" s="48">
        <f t="shared" si="43"/>
        <v>0</v>
      </c>
      <c r="M51" s="48">
        <f t="shared" si="43"/>
        <v>35</v>
      </c>
      <c r="N51" s="48">
        <f t="shared" si="43"/>
        <v>34.47</v>
      </c>
      <c r="O51" s="49">
        <f t="shared" si="39"/>
        <v>0.98485714285714288</v>
      </c>
      <c r="P51" s="48">
        <f>SUM(P49:P50)</f>
        <v>0</v>
      </c>
      <c r="Q51" s="49">
        <f t="shared" si="40"/>
        <v>0</v>
      </c>
      <c r="R51" s="48">
        <f>SUM(R49:R50)</f>
        <v>0</v>
      </c>
      <c r="S51" s="49">
        <f t="shared" si="41"/>
        <v>0</v>
      </c>
      <c r="T51" s="48">
        <f>SUM(T49:T50)</f>
        <v>0</v>
      </c>
      <c r="U51" s="49">
        <f t="shared" si="42"/>
        <v>0</v>
      </c>
      <c r="V51" s="48">
        <f>SUM(V49:V50)</f>
        <v>0</v>
      </c>
      <c r="W51" s="48">
        <f>SUM(W49:W50)</f>
        <v>0</v>
      </c>
    </row>
    <row r="52" spans="1:23" ht="13.9" customHeight="1" x14ac:dyDescent="0.25">
      <c r="A52" s="10" t="s">
        <v>47</v>
      </c>
      <c r="B52" s="24">
        <v>210</v>
      </c>
      <c r="C52" s="24" t="s">
        <v>51</v>
      </c>
      <c r="D52" s="25">
        <v>5797.62</v>
      </c>
      <c r="E52" s="25">
        <v>5714.21</v>
      </c>
      <c r="F52" s="25">
        <v>5610</v>
      </c>
      <c r="G52" s="25">
        <v>9093</v>
      </c>
      <c r="H52" s="25">
        <v>9090</v>
      </c>
      <c r="I52" s="25"/>
      <c r="J52" s="25"/>
      <c r="K52" s="25"/>
      <c r="L52" s="25"/>
      <c r="M52" s="25">
        <f>H52+SUM(I52:L52)</f>
        <v>9090</v>
      </c>
      <c r="N52" s="25">
        <v>1552.16</v>
      </c>
      <c r="O52" s="26">
        <f t="shared" si="39"/>
        <v>0.17075467546754677</v>
      </c>
      <c r="P52" s="25"/>
      <c r="Q52" s="26">
        <f t="shared" si="40"/>
        <v>0</v>
      </c>
      <c r="R52" s="25"/>
      <c r="S52" s="26">
        <f t="shared" si="41"/>
        <v>0</v>
      </c>
      <c r="T52" s="25"/>
      <c r="U52" s="26">
        <f t="shared" si="42"/>
        <v>0</v>
      </c>
      <c r="V52" s="25">
        <f>H52</f>
        <v>9090</v>
      </c>
      <c r="W52" s="25">
        <f>V52</f>
        <v>9090</v>
      </c>
    </row>
    <row r="53" spans="1:23" ht="13.9" customHeight="1" x14ac:dyDescent="0.25">
      <c r="A53" s="10"/>
      <c r="B53" s="24">
        <v>220</v>
      </c>
      <c r="C53" s="24" t="s">
        <v>52</v>
      </c>
      <c r="D53" s="25">
        <v>75387.42</v>
      </c>
      <c r="E53" s="25">
        <v>80419.72</v>
      </c>
      <c r="F53" s="25">
        <v>111400</v>
      </c>
      <c r="G53" s="25">
        <v>103081</v>
      </c>
      <c r="H53" s="25">
        <v>107340</v>
      </c>
      <c r="I53" s="25"/>
      <c r="J53" s="25"/>
      <c r="K53" s="25"/>
      <c r="L53" s="25"/>
      <c r="M53" s="25">
        <f>H53+SUM(I53:L53)</f>
        <v>107340</v>
      </c>
      <c r="N53" s="25">
        <v>21792.68</v>
      </c>
      <c r="O53" s="26">
        <f t="shared" si="39"/>
        <v>0.20302478106949878</v>
      </c>
      <c r="P53" s="25"/>
      <c r="Q53" s="26">
        <f t="shared" si="40"/>
        <v>0</v>
      </c>
      <c r="R53" s="25"/>
      <c r="S53" s="26">
        <f t="shared" si="41"/>
        <v>0</v>
      </c>
      <c r="T53" s="25"/>
      <c r="U53" s="26">
        <f t="shared" si="42"/>
        <v>0</v>
      </c>
      <c r="V53" s="25">
        <f>H53</f>
        <v>107340</v>
      </c>
      <c r="W53" s="25">
        <f>V53</f>
        <v>107340</v>
      </c>
    </row>
    <row r="54" spans="1:23" ht="13.9" customHeight="1" x14ac:dyDescent="0.25">
      <c r="A54" s="10"/>
      <c r="B54" s="24">
        <v>230</v>
      </c>
      <c r="C54" s="24" t="s">
        <v>53</v>
      </c>
      <c r="D54" s="25">
        <v>3650</v>
      </c>
      <c r="E54" s="25">
        <v>0</v>
      </c>
      <c r="F54" s="25">
        <v>0</v>
      </c>
      <c r="G54" s="25">
        <v>2025</v>
      </c>
      <c r="H54" s="25">
        <v>0</v>
      </c>
      <c r="I54" s="25"/>
      <c r="J54" s="25"/>
      <c r="K54" s="25"/>
      <c r="L54" s="25"/>
      <c r="M54" s="25">
        <f>H54+SUM(I54:L54)</f>
        <v>0</v>
      </c>
      <c r="N54" s="25">
        <v>10</v>
      </c>
      <c r="O54" s="26">
        <f t="shared" si="39"/>
        <v>0</v>
      </c>
      <c r="P54" s="25"/>
      <c r="Q54" s="26">
        <f t="shared" si="40"/>
        <v>0</v>
      </c>
      <c r="R54" s="25"/>
      <c r="S54" s="26">
        <f t="shared" si="41"/>
        <v>0</v>
      </c>
      <c r="T54" s="25"/>
      <c r="U54" s="26">
        <f t="shared" si="42"/>
        <v>0</v>
      </c>
      <c r="V54" s="25">
        <f>H54</f>
        <v>0</v>
      </c>
      <c r="W54" s="25">
        <f>V54</f>
        <v>0</v>
      </c>
    </row>
    <row r="55" spans="1:23" ht="13.9" customHeight="1" x14ac:dyDescent="0.25">
      <c r="A55" s="10"/>
      <c r="B55" s="24">
        <v>240</v>
      </c>
      <c r="C55" s="24" t="s">
        <v>54</v>
      </c>
      <c r="D55" s="25">
        <v>11.99</v>
      </c>
      <c r="E55" s="25">
        <v>293.35000000000002</v>
      </c>
      <c r="F55" s="25">
        <v>220</v>
      </c>
      <c r="G55" s="25">
        <v>999</v>
      </c>
      <c r="H55" s="25">
        <v>1000</v>
      </c>
      <c r="I55" s="25"/>
      <c r="J55" s="25"/>
      <c r="K55" s="25"/>
      <c r="L55" s="25"/>
      <c r="M55" s="25">
        <f>H55+SUM(I55:L55)</f>
        <v>1000</v>
      </c>
      <c r="N55" s="25">
        <v>521.30999999999995</v>
      </c>
      <c r="O55" s="26">
        <f t="shared" si="39"/>
        <v>0.52130999999999994</v>
      </c>
      <c r="P55" s="25"/>
      <c r="Q55" s="26">
        <f t="shared" si="40"/>
        <v>0</v>
      </c>
      <c r="R55" s="25"/>
      <c r="S55" s="26">
        <f t="shared" si="41"/>
        <v>0</v>
      </c>
      <c r="T55" s="25"/>
      <c r="U55" s="26">
        <f t="shared" si="42"/>
        <v>0</v>
      </c>
      <c r="V55" s="25">
        <f>H55</f>
        <v>1000</v>
      </c>
      <c r="W55" s="25">
        <f>V55</f>
        <v>1000</v>
      </c>
    </row>
    <row r="56" spans="1:23" ht="13.9" customHeight="1" x14ac:dyDescent="0.25">
      <c r="A56" s="10"/>
      <c r="B56" s="24">
        <v>290</v>
      </c>
      <c r="C56" s="24" t="s">
        <v>48</v>
      </c>
      <c r="D56" s="25">
        <v>34742.480000000003</v>
      </c>
      <c r="E56" s="25">
        <v>22364.2</v>
      </c>
      <c r="F56" s="25">
        <v>10940</v>
      </c>
      <c r="G56" s="25">
        <v>22170</v>
      </c>
      <c r="H56" s="25">
        <v>11955</v>
      </c>
      <c r="I56" s="25">
        <v>397</v>
      </c>
      <c r="J56" s="25"/>
      <c r="K56" s="25"/>
      <c r="L56" s="25"/>
      <c r="M56" s="25">
        <f>H56+SUM(I56:L56)</f>
        <v>12352</v>
      </c>
      <c r="N56" s="25">
        <v>4890.2299999999996</v>
      </c>
      <c r="O56" s="26">
        <f t="shared" si="39"/>
        <v>0.39590592616580306</v>
      </c>
      <c r="P56" s="25"/>
      <c r="Q56" s="26">
        <f t="shared" si="40"/>
        <v>0</v>
      </c>
      <c r="R56" s="25"/>
      <c r="S56" s="26">
        <f t="shared" si="41"/>
        <v>0</v>
      </c>
      <c r="T56" s="25"/>
      <c r="U56" s="26">
        <f t="shared" si="42"/>
        <v>0</v>
      </c>
      <c r="V56" s="25">
        <f>H56</f>
        <v>11955</v>
      </c>
      <c r="W56" s="25">
        <f>V56</f>
        <v>11955</v>
      </c>
    </row>
    <row r="57" spans="1:23" ht="13.9" customHeight="1" x14ac:dyDescent="0.25">
      <c r="A57" s="47" t="s">
        <v>21</v>
      </c>
      <c r="B57" s="47">
        <v>41</v>
      </c>
      <c r="C57" s="47" t="s">
        <v>23</v>
      </c>
      <c r="D57" s="48">
        <f t="shared" ref="D57:N57" si="44">SUM(D52:D56)</f>
        <v>119589.51000000001</v>
      </c>
      <c r="E57" s="48">
        <f t="shared" si="44"/>
        <v>108791.48000000001</v>
      </c>
      <c r="F57" s="48">
        <f t="shared" si="44"/>
        <v>128170</v>
      </c>
      <c r="G57" s="48">
        <f t="shared" si="44"/>
        <v>137368</v>
      </c>
      <c r="H57" s="48">
        <f t="shared" si="44"/>
        <v>129385</v>
      </c>
      <c r="I57" s="48">
        <f t="shared" si="44"/>
        <v>397</v>
      </c>
      <c r="J57" s="48">
        <f t="shared" si="44"/>
        <v>0</v>
      </c>
      <c r="K57" s="48">
        <f t="shared" si="44"/>
        <v>0</v>
      </c>
      <c r="L57" s="48">
        <f t="shared" si="44"/>
        <v>0</v>
      </c>
      <c r="M57" s="48">
        <f t="shared" si="44"/>
        <v>129782</v>
      </c>
      <c r="N57" s="48">
        <f t="shared" si="44"/>
        <v>28766.38</v>
      </c>
      <c r="O57" s="49">
        <f t="shared" si="39"/>
        <v>0.22165153873418503</v>
      </c>
      <c r="P57" s="48">
        <f>SUM(P52:P56)</f>
        <v>0</v>
      </c>
      <c r="Q57" s="49">
        <f t="shared" si="40"/>
        <v>0</v>
      </c>
      <c r="R57" s="48">
        <f>SUM(R52:R56)</f>
        <v>0</v>
      </c>
      <c r="S57" s="49">
        <f t="shared" si="41"/>
        <v>0</v>
      </c>
      <c r="T57" s="48">
        <f>SUM(T52:T56)</f>
        <v>0</v>
      </c>
      <c r="U57" s="49">
        <f t="shared" si="42"/>
        <v>0</v>
      </c>
      <c r="V57" s="48">
        <f>SUM(V52:V56)</f>
        <v>129385</v>
      </c>
      <c r="W57" s="48">
        <f>SUM(W52:W56)</f>
        <v>129385</v>
      </c>
    </row>
    <row r="58" spans="1:23" ht="13.9" customHeight="1" x14ac:dyDescent="0.25">
      <c r="A58" s="13" t="s">
        <v>47</v>
      </c>
      <c r="B58" s="24">
        <v>290</v>
      </c>
      <c r="C58" s="24" t="s">
        <v>48</v>
      </c>
      <c r="D58" s="25">
        <v>2376.81</v>
      </c>
      <c r="E58" s="25">
        <v>2696.59</v>
      </c>
      <c r="F58" s="25">
        <v>2943</v>
      </c>
      <c r="G58" s="25">
        <v>2955</v>
      </c>
      <c r="H58" s="25">
        <v>3029</v>
      </c>
      <c r="I58" s="25"/>
      <c r="J58" s="25"/>
      <c r="K58" s="25"/>
      <c r="L58" s="25"/>
      <c r="M58" s="25">
        <f>H58+SUM(I58:L58)</f>
        <v>3029</v>
      </c>
      <c r="N58" s="25">
        <v>655.4</v>
      </c>
      <c r="O58" s="26">
        <f t="shared" si="39"/>
        <v>0.21637504126774512</v>
      </c>
      <c r="P58" s="25"/>
      <c r="Q58" s="26">
        <f t="shared" si="40"/>
        <v>0</v>
      </c>
      <c r="R58" s="25"/>
      <c r="S58" s="26">
        <f t="shared" si="41"/>
        <v>0</v>
      </c>
      <c r="T58" s="25"/>
      <c r="U58" s="26">
        <f t="shared" si="42"/>
        <v>0</v>
      </c>
      <c r="V58" s="25">
        <f>H58</f>
        <v>3029</v>
      </c>
      <c r="W58" s="25">
        <f>V58</f>
        <v>3029</v>
      </c>
    </row>
    <row r="59" spans="1:23" ht="13.9" customHeight="1" x14ac:dyDescent="0.25">
      <c r="A59" s="13"/>
      <c r="B59" s="24" t="s">
        <v>49</v>
      </c>
      <c r="C59" s="24" t="s">
        <v>50</v>
      </c>
      <c r="D59" s="45">
        <v>98070.9</v>
      </c>
      <c r="E59" s="45">
        <v>90514.52</v>
      </c>
      <c r="F59" s="45">
        <v>89200</v>
      </c>
      <c r="G59" s="45">
        <v>93160</v>
      </c>
      <c r="H59" s="45">
        <v>91200</v>
      </c>
      <c r="I59" s="45">
        <v>5260</v>
      </c>
      <c r="J59" s="45"/>
      <c r="K59" s="45"/>
      <c r="L59" s="45"/>
      <c r="M59" s="45">
        <f>H59+SUM(I59:L59)</f>
        <v>96460</v>
      </c>
      <c r="N59" s="45">
        <v>31361.22</v>
      </c>
      <c r="O59" s="46">
        <f t="shared" si="39"/>
        <v>0.32512150114036908</v>
      </c>
      <c r="P59" s="45"/>
      <c r="Q59" s="46">
        <f t="shared" si="40"/>
        <v>0</v>
      </c>
      <c r="R59" s="45"/>
      <c r="S59" s="46">
        <f t="shared" si="41"/>
        <v>0</v>
      </c>
      <c r="T59" s="45"/>
      <c r="U59" s="46">
        <f t="shared" si="42"/>
        <v>0</v>
      </c>
      <c r="V59" s="25">
        <v>92095</v>
      </c>
      <c r="W59" s="25">
        <f>V59</f>
        <v>92095</v>
      </c>
    </row>
    <row r="60" spans="1:23" ht="13.9" customHeight="1" x14ac:dyDescent="0.25">
      <c r="A60" s="47" t="s">
        <v>21</v>
      </c>
      <c r="B60" s="47">
        <v>72</v>
      </c>
      <c r="C60" s="47" t="s">
        <v>25</v>
      </c>
      <c r="D60" s="48">
        <f t="shared" ref="D60:N60" si="45">SUM(D58:D59)</f>
        <v>100447.70999999999</v>
      </c>
      <c r="E60" s="48">
        <f t="shared" si="45"/>
        <v>93211.11</v>
      </c>
      <c r="F60" s="48">
        <f t="shared" si="45"/>
        <v>92143</v>
      </c>
      <c r="G60" s="48">
        <f t="shared" si="45"/>
        <v>96115</v>
      </c>
      <c r="H60" s="48">
        <f t="shared" si="45"/>
        <v>94229</v>
      </c>
      <c r="I60" s="48">
        <f t="shared" si="45"/>
        <v>5260</v>
      </c>
      <c r="J60" s="48">
        <f t="shared" si="45"/>
        <v>0</v>
      </c>
      <c r="K60" s="48">
        <f t="shared" si="45"/>
        <v>0</v>
      </c>
      <c r="L60" s="48">
        <f t="shared" si="45"/>
        <v>0</v>
      </c>
      <c r="M60" s="48">
        <f t="shared" si="45"/>
        <v>99489</v>
      </c>
      <c r="N60" s="48">
        <f t="shared" si="45"/>
        <v>32016.620000000003</v>
      </c>
      <c r="O60" s="49">
        <f t="shared" si="39"/>
        <v>0.32181065243393747</v>
      </c>
      <c r="P60" s="48">
        <f>SUM(P58:P59)</f>
        <v>0</v>
      </c>
      <c r="Q60" s="49">
        <f t="shared" si="40"/>
        <v>0</v>
      </c>
      <c r="R60" s="48">
        <f>SUM(R58:R59)</f>
        <v>0</v>
      </c>
      <c r="S60" s="49">
        <f t="shared" si="41"/>
        <v>0</v>
      </c>
      <c r="T60" s="48">
        <f>SUM(T58:T59)</f>
        <v>0</v>
      </c>
      <c r="U60" s="49">
        <f t="shared" si="42"/>
        <v>0</v>
      </c>
      <c r="V60" s="48">
        <f>SUM(V58:V59)</f>
        <v>95124</v>
      </c>
      <c r="W60" s="48">
        <f>SUM(W58:W59)</f>
        <v>95124</v>
      </c>
    </row>
    <row r="62" spans="1:23" ht="13.9" customHeight="1" x14ac:dyDescent="0.25">
      <c r="B62" s="51" t="s">
        <v>55</v>
      </c>
      <c r="C62" s="30" t="s">
        <v>56</v>
      </c>
      <c r="D62" s="52">
        <v>5797.62</v>
      </c>
      <c r="E62" s="52">
        <v>5708.43</v>
      </c>
      <c r="F62" s="52">
        <v>5600</v>
      </c>
      <c r="G62" s="52">
        <v>8973</v>
      </c>
      <c r="H62" s="52">
        <v>8970</v>
      </c>
      <c r="I62" s="52"/>
      <c r="J62" s="52"/>
      <c r="K62" s="52"/>
      <c r="L62" s="52"/>
      <c r="M62" s="52">
        <f t="shared" ref="M62:M71" si="46">H62+SUM(I62:L62)</f>
        <v>8970</v>
      </c>
      <c r="N62" s="52">
        <v>1552.16</v>
      </c>
      <c r="O62" s="53">
        <f t="shared" ref="O62:O71" si="47">IFERROR(N62/$M62,0)</f>
        <v>0.17303901895206245</v>
      </c>
      <c r="P62" s="52"/>
      <c r="Q62" s="53">
        <f t="shared" ref="Q62:Q71" si="48">IFERROR(P62/$M62,0)</f>
        <v>0</v>
      </c>
      <c r="R62" s="52"/>
      <c r="S62" s="53">
        <f t="shared" ref="S62:S71" si="49">IFERROR(R62/$M62,0)</f>
        <v>0</v>
      </c>
      <c r="T62" s="52"/>
      <c r="U62" s="54">
        <f t="shared" ref="U62:U71" si="50">IFERROR(T62/$M62,0)</f>
        <v>0</v>
      </c>
      <c r="V62" s="52">
        <f t="shared" ref="V62:V68" si="51">H62</f>
        <v>8970</v>
      </c>
      <c r="W62" s="55">
        <f t="shared" ref="W62:W68" si="52">V62</f>
        <v>8970</v>
      </c>
    </row>
    <row r="63" spans="1:23" ht="13.9" customHeight="1" x14ac:dyDescent="0.25">
      <c r="B63" s="56"/>
      <c r="C63" s="57" t="s">
        <v>57</v>
      </c>
      <c r="D63" s="58">
        <v>6504</v>
      </c>
      <c r="E63" s="58">
        <v>8023</v>
      </c>
      <c r="F63" s="58">
        <v>8150</v>
      </c>
      <c r="G63" s="58">
        <v>8058</v>
      </c>
      <c r="H63" s="58">
        <v>8100</v>
      </c>
      <c r="I63" s="58"/>
      <c r="J63" s="58"/>
      <c r="K63" s="58"/>
      <c r="L63" s="58"/>
      <c r="M63" s="58">
        <f t="shared" si="46"/>
        <v>8100</v>
      </c>
      <c r="N63" s="58">
        <v>2950.5</v>
      </c>
      <c r="O63" s="16">
        <f t="shared" si="47"/>
        <v>0.36425925925925928</v>
      </c>
      <c r="P63" s="58"/>
      <c r="Q63" s="16">
        <f t="shared" si="48"/>
        <v>0</v>
      </c>
      <c r="R63" s="58"/>
      <c r="S63" s="16">
        <f t="shared" si="49"/>
        <v>0</v>
      </c>
      <c r="T63" s="58"/>
      <c r="U63" s="59">
        <f t="shared" si="50"/>
        <v>0</v>
      </c>
      <c r="V63" s="58">
        <f t="shared" si="51"/>
        <v>8100</v>
      </c>
      <c r="W63" s="60">
        <f t="shared" si="52"/>
        <v>8100</v>
      </c>
    </row>
    <row r="64" spans="1:23" ht="13.9" customHeight="1" x14ac:dyDescent="0.25">
      <c r="B64" s="56"/>
      <c r="C64" s="57" t="s">
        <v>58</v>
      </c>
      <c r="D64" s="58">
        <v>15034.52</v>
      </c>
      <c r="E64" s="58">
        <v>18801.21</v>
      </c>
      <c r="F64" s="58">
        <v>14000</v>
      </c>
      <c r="G64" s="58">
        <v>19175</v>
      </c>
      <c r="H64" s="58">
        <v>19200</v>
      </c>
      <c r="I64" s="58"/>
      <c r="J64" s="58"/>
      <c r="K64" s="58"/>
      <c r="L64" s="58"/>
      <c r="M64" s="58">
        <f t="shared" si="46"/>
        <v>19200</v>
      </c>
      <c r="N64" s="58">
        <v>4835.63</v>
      </c>
      <c r="O64" s="16">
        <f t="shared" si="47"/>
        <v>0.25185572916666665</v>
      </c>
      <c r="P64" s="58"/>
      <c r="Q64" s="16">
        <f t="shared" si="48"/>
        <v>0</v>
      </c>
      <c r="R64" s="58"/>
      <c r="S64" s="16">
        <f t="shared" si="49"/>
        <v>0</v>
      </c>
      <c r="T64" s="58"/>
      <c r="U64" s="59">
        <f t="shared" si="50"/>
        <v>0</v>
      </c>
      <c r="V64" s="58">
        <f t="shared" si="51"/>
        <v>19200</v>
      </c>
      <c r="W64" s="60">
        <f t="shared" si="52"/>
        <v>19200</v>
      </c>
    </row>
    <row r="65" spans="1:23" ht="13.9" customHeight="1" x14ac:dyDescent="0.25">
      <c r="B65" s="56"/>
      <c r="C65" s="57" t="s">
        <v>59</v>
      </c>
      <c r="D65" s="61">
        <v>42810.92</v>
      </c>
      <c r="E65" s="61">
        <v>43524.73</v>
      </c>
      <c r="F65" s="61">
        <v>54050</v>
      </c>
      <c r="G65" s="61">
        <v>47799</v>
      </c>
      <c r="H65" s="61">
        <v>43100</v>
      </c>
      <c r="I65" s="61"/>
      <c r="J65" s="61"/>
      <c r="K65" s="61"/>
      <c r="L65" s="61"/>
      <c r="M65" s="61">
        <f t="shared" si="46"/>
        <v>43100</v>
      </c>
      <c r="N65" s="61">
        <v>12300.04</v>
      </c>
      <c r="O65" s="62">
        <f t="shared" si="47"/>
        <v>0.2853837587006961</v>
      </c>
      <c r="P65" s="61"/>
      <c r="Q65" s="62">
        <f t="shared" si="48"/>
        <v>0</v>
      </c>
      <c r="R65" s="61"/>
      <c r="S65" s="62">
        <f t="shared" si="49"/>
        <v>0</v>
      </c>
      <c r="T65" s="61"/>
      <c r="U65" s="63">
        <f t="shared" si="50"/>
        <v>0</v>
      </c>
      <c r="V65" s="58">
        <f t="shared" si="51"/>
        <v>43100</v>
      </c>
      <c r="W65" s="60">
        <f t="shared" si="52"/>
        <v>43100</v>
      </c>
    </row>
    <row r="66" spans="1:23" ht="13.9" customHeight="1" x14ac:dyDescent="0.25">
      <c r="B66" s="56"/>
      <c r="C66" s="57" t="s">
        <v>60</v>
      </c>
      <c r="D66" s="61">
        <v>0</v>
      </c>
      <c r="E66" s="61">
        <v>0</v>
      </c>
      <c r="F66" s="61">
        <v>0</v>
      </c>
      <c r="G66" s="61">
        <v>0</v>
      </c>
      <c r="H66" s="61">
        <v>10800</v>
      </c>
      <c r="I66" s="61"/>
      <c r="J66" s="61"/>
      <c r="K66" s="61"/>
      <c r="L66" s="61"/>
      <c r="M66" s="61">
        <f t="shared" si="46"/>
        <v>10800</v>
      </c>
      <c r="N66" s="61">
        <v>0</v>
      </c>
      <c r="O66" s="62">
        <f t="shared" si="47"/>
        <v>0</v>
      </c>
      <c r="P66" s="61"/>
      <c r="Q66" s="62">
        <f t="shared" si="48"/>
        <v>0</v>
      </c>
      <c r="R66" s="61"/>
      <c r="S66" s="62">
        <f t="shared" si="49"/>
        <v>0</v>
      </c>
      <c r="T66" s="61"/>
      <c r="U66" s="63">
        <f t="shared" si="50"/>
        <v>0</v>
      </c>
      <c r="V66" s="58">
        <f t="shared" si="51"/>
        <v>10800</v>
      </c>
      <c r="W66" s="60">
        <f t="shared" si="52"/>
        <v>10800</v>
      </c>
    </row>
    <row r="67" spans="1:23" ht="13.9" customHeight="1" x14ac:dyDescent="0.25">
      <c r="B67" s="56"/>
      <c r="C67" s="57" t="s">
        <v>61</v>
      </c>
      <c r="D67" s="61">
        <v>500</v>
      </c>
      <c r="E67" s="61">
        <v>0</v>
      </c>
      <c r="F67" s="61">
        <v>28000</v>
      </c>
      <c r="G67" s="61">
        <v>18868</v>
      </c>
      <c r="H67" s="61">
        <v>19000</v>
      </c>
      <c r="I67" s="61"/>
      <c r="J67" s="61"/>
      <c r="K67" s="61"/>
      <c r="L67" s="61"/>
      <c r="M67" s="61">
        <f t="shared" si="46"/>
        <v>19000</v>
      </c>
      <c r="N67" s="61">
        <v>0</v>
      </c>
      <c r="O67" s="62">
        <f t="shared" si="47"/>
        <v>0</v>
      </c>
      <c r="P67" s="61"/>
      <c r="Q67" s="62">
        <f t="shared" si="48"/>
        <v>0</v>
      </c>
      <c r="R67" s="61"/>
      <c r="S67" s="62">
        <f t="shared" si="49"/>
        <v>0</v>
      </c>
      <c r="T67" s="61"/>
      <c r="U67" s="63">
        <f t="shared" si="50"/>
        <v>0</v>
      </c>
      <c r="V67" s="58">
        <f t="shared" si="51"/>
        <v>19000</v>
      </c>
      <c r="W67" s="60">
        <f t="shared" si="52"/>
        <v>19000</v>
      </c>
    </row>
    <row r="68" spans="1:23" ht="13.9" customHeight="1" x14ac:dyDescent="0.25">
      <c r="B68" s="56"/>
      <c r="C68" s="57" t="s">
        <v>62</v>
      </c>
      <c r="D68" s="61">
        <v>1718</v>
      </c>
      <c r="E68" s="61">
        <v>4295.1000000000004</v>
      </c>
      <c r="F68" s="61">
        <v>3200</v>
      </c>
      <c r="G68" s="61">
        <v>2745</v>
      </c>
      <c r="H68" s="61">
        <v>2750</v>
      </c>
      <c r="I68" s="61"/>
      <c r="J68" s="61"/>
      <c r="K68" s="61"/>
      <c r="L68" s="61"/>
      <c r="M68" s="61">
        <f t="shared" si="46"/>
        <v>2750</v>
      </c>
      <c r="N68" s="61">
        <v>560</v>
      </c>
      <c r="O68" s="62">
        <f t="shared" si="47"/>
        <v>0.20363636363636364</v>
      </c>
      <c r="P68" s="61"/>
      <c r="Q68" s="62">
        <f t="shared" si="48"/>
        <v>0</v>
      </c>
      <c r="R68" s="61"/>
      <c r="S68" s="62">
        <f t="shared" si="49"/>
        <v>0</v>
      </c>
      <c r="T68" s="61"/>
      <c r="U68" s="63">
        <f t="shared" si="50"/>
        <v>0</v>
      </c>
      <c r="V68" s="58">
        <f t="shared" si="51"/>
        <v>2750</v>
      </c>
      <c r="W68" s="60">
        <f t="shared" si="52"/>
        <v>2750</v>
      </c>
    </row>
    <row r="69" spans="1:23" ht="13.9" customHeight="1" x14ac:dyDescent="0.25">
      <c r="B69" s="56"/>
      <c r="C69" s="57" t="s">
        <v>63</v>
      </c>
      <c r="D69" s="61">
        <v>16975.27</v>
      </c>
      <c r="E69" s="61">
        <v>3413.13</v>
      </c>
      <c r="F69" s="61">
        <v>1600</v>
      </c>
      <c r="G69" s="61">
        <v>7539</v>
      </c>
      <c r="H69" s="61">
        <v>2200</v>
      </c>
      <c r="I69" s="61"/>
      <c r="J69" s="61"/>
      <c r="K69" s="61"/>
      <c r="L69" s="61"/>
      <c r="M69" s="61">
        <f t="shared" si="46"/>
        <v>2200</v>
      </c>
      <c r="N69" s="61">
        <v>1719.86</v>
      </c>
      <c r="O69" s="62">
        <f t="shared" si="47"/>
        <v>0.78175454545454537</v>
      </c>
      <c r="P69" s="61"/>
      <c r="Q69" s="62">
        <f t="shared" si="48"/>
        <v>0</v>
      </c>
      <c r="R69" s="61"/>
      <c r="S69" s="62">
        <f t="shared" si="49"/>
        <v>0</v>
      </c>
      <c r="T69" s="61"/>
      <c r="U69" s="63">
        <f t="shared" si="50"/>
        <v>0</v>
      </c>
      <c r="V69" s="58">
        <v>0</v>
      </c>
      <c r="W69" s="60">
        <v>0</v>
      </c>
    </row>
    <row r="70" spans="1:23" ht="13.9" customHeight="1" x14ac:dyDescent="0.25">
      <c r="B70" s="56"/>
      <c r="C70" s="57" t="s">
        <v>64</v>
      </c>
      <c r="D70" s="58">
        <v>7990.73</v>
      </c>
      <c r="E70" s="58">
        <v>11036.69</v>
      </c>
      <c r="F70" s="58">
        <v>0</v>
      </c>
      <c r="G70" s="58">
        <v>2955</v>
      </c>
      <c r="H70" s="58">
        <v>0</v>
      </c>
      <c r="I70" s="58">
        <v>397</v>
      </c>
      <c r="J70" s="58"/>
      <c r="K70" s="58"/>
      <c r="L70" s="58"/>
      <c r="M70" s="58">
        <f t="shared" si="46"/>
        <v>397</v>
      </c>
      <c r="N70" s="58">
        <v>421</v>
      </c>
      <c r="O70" s="16">
        <f t="shared" si="47"/>
        <v>1.0604534005037782</v>
      </c>
      <c r="P70" s="58"/>
      <c r="Q70" s="16">
        <f t="shared" si="48"/>
        <v>0</v>
      </c>
      <c r="R70" s="58"/>
      <c r="S70" s="16">
        <f t="shared" si="49"/>
        <v>0</v>
      </c>
      <c r="T70" s="58"/>
      <c r="U70" s="59">
        <f t="shared" si="50"/>
        <v>0</v>
      </c>
      <c r="V70" s="58">
        <v>0</v>
      </c>
      <c r="W70" s="60">
        <f>V70</f>
        <v>0</v>
      </c>
    </row>
    <row r="71" spans="1:23" ht="13.9" customHeight="1" x14ac:dyDescent="0.25">
      <c r="B71" s="64"/>
      <c r="C71" s="65" t="s">
        <v>65</v>
      </c>
      <c r="D71" s="66">
        <v>8156.72</v>
      </c>
      <c r="E71" s="66">
        <v>9292.9599999999991</v>
      </c>
      <c r="F71" s="66">
        <v>9340</v>
      </c>
      <c r="G71" s="66">
        <v>9648</v>
      </c>
      <c r="H71" s="66">
        <v>9755</v>
      </c>
      <c r="I71" s="66"/>
      <c r="J71" s="66"/>
      <c r="K71" s="66"/>
      <c r="L71" s="66"/>
      <c r="M71" s="66">
        <f t="shared" si="46"/>
        <v>9755</v>
      </c>
      <c r="N71" s="66">
        <v>1793.03</v>
      </c>
      <c r="O71" s="67">
        <f t="shared" si="47"/>
        <v>0.1838062532034854</v>
      </c>
      <c r="P71" s="66"/>
      <c r="Q71" s="67">
        <f t="shared" si="48"/>
        <v>0</v>
      </c>
      <c r="R71" s="66"/>
      <c r="S71" s="67">
        <f t="shared" si="49"/>
        <v>0</v>
      </c>
      <c r="T71" s="66"/>
      <c r="U71" s="68">
        <f t="shared" si="50"/>
        <v>0</v>
      </c>
      <c r="V71" s="66">
        <f>H71</f>
        <v>9755</v>
      </c>
      <c r="W71" s="69">
        <f>V71</f>
        <v>9755</v>
      </c>
    </row>
    <row r="73" spans="1:23" ht="13.9" customHeight="1" x14ac:dyDescent="0.25">
      <c r="A73" s="32" t="s">
        <v>66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/>
      <c r="P73" s="32"/>
      <c r="Q73" s="32"/>
      <c r="R73" s="32"/>
      <c r="S73" s="32"/>
      <c r="T73" s="32"/>
      <c r="U73" s="32"/>
      <c r="V73" s="32"/>
      <c r="W73" s="32"/>
    </row>
    <row r="74" spans="1:23" ht="13.9" customHeight="1" x14ac:dyDescent="0.25">
      <c r="A74" s="20"/>
      <c r="B74" s="20"/>
      <c r="C74" s="20"/>
      <c r="D74" s="21" t="s">
        <v>1</v>
      </c>
      <c r="E74" s="21" t="s">
        <v>2</v>
      </c>
      <c r="F74" s="21" t="s">
        <v>3</v>
      </c>
      <c r="G74" s="21" t="s">
        <v>4</v>
      </c>
      <c r="H74" s="21" t="s">
        <v>5</v>
      </c>
      <c r="I74" s="21" t="s">
        <v>6</v>
      </c>
      <c r="J74" s="21" t="s">
        <v>7</v>
      </c>
      <c r="K74" s="21" t="s">
        <v>8</v>
      </c>
      <c r="L74" s="21" t="s">
        <v>9</v>
      </c>
      <c r="M74" s="21" t="s">
        <v>10</v>
      </c>
      <c r="N74" s="21" t="s">
        <v>11</v>
      </c>
      <c r="O74" s="22" t="s">
        <v>12</v>
      </c>
      <c r="P74" s="21" t="s">
        <v>13</v>
      </c>
      <c r="Q74" s="22" t="s">
        <v>14</v>
      </c>
      <c r="R74" s="21" t="s">
        <v>15</v>
      </c>
      <c r="S74" s="22" t="s">
        <v>16</v>
      </c>
      <c r="T74" s="21" t="s">
        <v>17</v>
      </c>
      <c r="U74" s="22" t="s">
        <v>18</v>
      </c>
      <c r="V74" s="21" t="s">
        <v>19</v>
      </c>
      <c r="W74" s="21" t="s">
        <v>20</v>
      </c>
    </row>
    <row r="75" spans="1:23" ht="13.9" customHeight="1" x14ac:dyDescent="0.25">
      <c r="A75" s="12" t="s">
        <v>21</v>
      </c>
      <c r="B75" s="35">
        <v>111</v>
      </c>
      <c r="C75" s="35" t="s">
        <v>22</v>
      </c>
      <c r="D75" s="70">
        <f t="shared" ref="D75:N75" si="53">D117</f>
        <v>1489256.4100000004</v>
      </c>
      <c r="E75" s="70">
        <f t="shared" si="53"/>
        <v>1295945.32</v>
      </c>
      <c r="F75" s="70">
        <f t="shared" si="53"/>
        <v>2079025</v>
      </c>
      <c r="G75" s="70">
        <f t="shared" si="53"/>
        <v>1758680</v>
      </c>
      <c r="H75" s="70">
        <f t="shared" si="53"/>
        <v>4297358</v>
      </c>
      <c r="I75" s="70">
        <f t="shared" si="53"/>
        <v>167441</v>
      </c>
      <c r="J75" s="70">
        <f t="shared" si="53"/>
        <v>0</v>
      </c>
      <c r="K75" s="70">
        <f t="shared" si="53"/>
        <v>0</v>
      </c>
      <c r="L75" s="70">
        <f t="shared" si="53"/>
        <v>0</v>
      </c>
      <c r="M75" s="70">
        <f t="shared" si="53"/>
        <v>4464799</v>
      </c>
      <c r="N75" s="70">
        <f t="shared" si="53"/>
        <v>428433.50999999995</v>
      </c>
      <c r="O75" s="71">
        <f>IFERROR(N75/$M75,0)</f>
        <v>9.595807336455682E-2</v>
      </c>
      <c r="P75" s="70">
        <f>P117</f>
        <v>0</v>
      </c>
      <c r="Q75" s="71">
        <f>IFERROR(P75/$M75,0)</f>
        <v>0</v>
      </c>
      <c r="R75" s="70">
        <f>R117</f>
        <v>0</v>
      </c>
      <c r="S75" s="71">
        <f>IFERROR(R75/$M75,0)</f>
        <v>0</v>
      </c>
      <c r="T75" s="70">
        <f>T117</f>
        <v>0</v>
      </c>
      <c r="U75" s="71">
        <f>IFERROR(T75/$M75,0)</f>
        <v>0</v>
      </c>
      <c r="V75" s="70">
        <f>V117</f>
        <v>1531565</v>
      </c>
      <c r="W75" s="70">
        <f>W117</f>
        <v>1545326</v>
      </c>
    </row>
    <row r="76" spans="1:23" ht="13.9" customHeight="1" x14ac:dyDescent="0.25">
      <c r="A76" s="12" t="s">
        <v>21</v>
      </c>
      <c r="B76" s="35">
        <v>71</v>
      </c>
      <c r="C76" s="35" t="s">
        <v>24</v>
      </c>
      <c r="D76" s="36">
        <f t="shared" ref="D76:N76" si="54">D120</f>
        <v>3000</v>
      </c>
      <c r="E76" s="36">
        <f t="shared" si="54"/>
        <v>3000</v>
      </c>
      <c r="F76" s="36">
        <f t="shared" si="54"/>
        <v>9000</v>
      </c>
      <c r="G76" s="36">
        <f t="shared" si="54"/>
        <v>9000</v>
      </c>
      <c r="H76" s="36">
        <f t="shared" si="54"/>
        <v>3000</v>
      </c>
      <c r="I76" s="36">
        <f t="shared" si="54"/>
        <v>0</v>
      </c>
      <c r="J76" s="36">
        <f t="shared" si="54"/>
        <v>0</v>
      </c>
      <c r="K76" s="36">
        <f t="shared" si="54"/>
        <v>0</v>
      </c>
      <c r="L76" s="36">
        <f t="shared" si="54"/>
        <v>0</v>
      </c>
      <c r="M76" s="36">
        <f t="shared" si="54"/>
        <v>3000</v>
      </c>
      <c r="N76" s="36">
        <f t="shared" si="54"/>
        <v>0</v>
      </c>
      <c r="O76" s="37">
        <f>IFERROR(N76/$M76,0)</f>
        <v>0</v>
      </c>
      <c r="P76" s="36">
        <f>P120</f>
        <v>0</v>
      </c>
      <c r="Q76" s="37">
        <f>IFERROR(P76/$M76,0)</f>
        <v>0</v>
      </c>
      <c r="R76" s="36">
        <f>R120</f>
        <v>0</v>
      </c>
      <c r="S76" s="37">
        <f>IFERROR(R76/$M76,0)</f>
        <v>0</v>
      </c>
      <c r="T76" s="36">
        <f>T120</f>
        <v>0</v>
      </c>
      <c r="U76" s="37">
        <f>IFERROR(T76/$M76,0)</f>
        <v>0</v>
      </c>
      <c r="V76" s="36">
        <f>V120</f>
        <v>3000</v>
      </c>
      <c r="W76" s="36">
        <f>W120</f>
        <v>3000</v>
      </c>
    </row>
    <row r="77" spans="1:23" ht="13.9" customHeight="1" x14ac:dyDescent="0.25">
      <c r="A77" s="12" t="s">
        <v>21</v>
      </c>
      <c r="B77" s="35">
        <v>72</v>
      </c>
      <c r="C77" s="35" t="s">
        <v>25</v>
      </c>
      <c r="D77" s="36">
        <f t="shared" ref="D77:N77" si="55">D122</f>
        <v>5986.24</v>
      </c>
      <c r="E77" s="36">
        <f t="shared" si="55"/>
        <v>1982.35</v>
      </c>
      <c r="F77" s="36">
        <f t="shared" si="55"/>
        <v>2000</v>
      </c>
      <c r="G77" s="36">
        <f t="shared" si="55"/>
        <v>1563</v>
      </c>
      <c r="H77" s="36">
        <f t="shared" si="55"/>
        <v>2000</v>
      </c>
      <c r="I77" s="36">
        <f t="shared" si="55"/>
        <v>0</v>
      </c>
      <c r="J77" s="36">
        <f t="shared" si="55"/>
        <v>0</v>
      </c>
      <c r="K77" s="36">
        <f t="shared" si="55"/>
        <v>0</v>
      </c>
      <c r="L77" s="36">
        <f t="shared" si="55"/>
        <v>0</v>
      </c>
      <c r="M77" s="36">
        <f t="shared" si="55"/>
        <v>2000</v>
      </c>
      <c r="N77" s="36">
        <f t="shared" si="55"/>
        <v>0</v>
      </c>
      <c r="O77" s="37">
        <f>IFERROR(N77/$M77,0)</f>
        <v>0</v>
      </c>
      <c r="P77" s="36">
        <f>P122</f>
        <v>0</v>
      </c>
      <c r="Q77" s="37">
        <f>IFERROR(P77/$M77,0)</f>
        <v>0</v>
      </c>
      <c r="R77" s="36">
        <f>R122</f>
        <v>0</v>
      </c>
      <c r="S77" s="37">
        <f>IFERROR(R77/$M77,0)</f>
        <v>0</v>
      </c>
      <c r="T77" s="36">
        <f>T122</f>
        <v>0</v>
      </c>
      <c r="U77" s="37">
        <f>IFERROR(T77/$M77,0)</f>
        <v>0</v>
      </c>
      <c r="V77" s="36">
        <f>V122</f>
        <v>2000</v>
      </c>
      <c r="W77" s="36">
        <f>W122</f>
        <v>2000</v>
      </c>
    </row>
    <row r="78" spans="1:23" ht="13.9" customHeight="1" x14ac:dyDescent="0.25">
      <c r="A78" s="30"/>
      <c r="B78" s="31"/>
      <c r="C78" s="38" t="s">
        <v>29</v>
      </c>
      <c r="D78" s="39">
        <f t="shared" ref="D78:N78" si="56">SUM(D75:D77)</f>
        <v>1498242.6500000004</v>
      </c>
      <c r="E78" s="39">
        <f t="shared" si="56"/>
        <v>1300927.6700000002</v>
      </c>
      <c r="F78" s="39">
        <f t="shared" si="56"/>
        <v>2090025</v>
      </c>
      <c r="G78" s="39">
        <f t="shared" si="56"/>
        <v>1769243</v>
      </c>
      <c r="H78" s="39">
        <f t="shared" si="56"/>
        <v>4302358</v>
      </c>
      <c r="I78" s="39">
        <f t="shared" si="56"/>
        <v>167441</v>
      </c>
      <c r="J78" s="39">
        <f t="shared" si="56"/>
        <v>0</v>
      </c>
      <c r="K78" s="39">
        <f t="shared" si="56"/>
        <v>0</v>
      </c>
      <c r="L78" s="39">
        <f t="shared" si="56"/>
        <v>0</v>
      </c>
      <c r="M78" s="39">
        <f t="shared" si="56"/>
        <v>4469799</v>
      </c>
      <c r="N78" s="39">
        <f t="shared" si="56"/>
        <v>428433.50999999995</v>
      </c>
      <c r="O78" s="40">
        <f>IFERROR(N78/$M78,0)</f>
        <v>9.5850732885304227E-2</v>
      </c>
      <c r="P78" s="39">
        <f>SUM(P75:P77)</f>
        <v>0</v>
      </c>
      <c r="Q78" s="40">
        <f>IFERROR(P78/$M78,0)</f>
        <v>0</v>
      </c>
      <c r="R78" s="39">
        <f>SUM(R75:R77)</f>
        <v>0</v>
      </c>
      <c r="S78" s="40">
        <f>IFERROR(R78/$M78,0)</f>
        <v>0</v>
      </c>
      <c r="T78" s="39">
        <f>SUM(T75:T77)</f>
        <v>0</v>
      </c>
      <c r="U78" s="40">
        <f>IFERROR(T78/$M78,0)</f>
        <v>0</v>
      </c>
      <c r="V78" s="39">
        <f>SUM(V75:V77)</f>
        <v>1536565</v>
      </c>
      <c r="W78" s="39">
        <f>SUM(W75:W77)</f>
        <v>1550326</v>
      </c>
    </row>
    <row r="80" spans="1:23" ht="13.9" customHeight="1" x14ac:dyDescent="0.25">
      <c r="A80" s="72" t="s">
        <v>67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3"/>
      <c r="P80" s="72"/>
      <c r="Q80" s="72"/>
      <c r="R80" s="72"/>
      <c r="S80" s="72"/>
      <c r="T80" s="72"/>
      <c r="U80" s="72"/>
      <c r="V80" s="72"/>
      <c r="W80" s="72"/>
    </row>
    <row r="81" spans="1:23" ht="13.9" customHeight="1" x14ac:dyDescent="0.25">
      <c r="A81" s="21" t="s">
        <v>32</v>
      </c>
      <c r="B81" s="21" t="s">
        <v>33</v>
      </c>
      <c r="C81" s="21" t="s">
        <v>34</v>
      </c>
      <c r="D81" s="21" t="s">
        <v>1</v>
      </c>
      <c r="E81" s="21" t="s">
        <v>2</v>
      </c>
      <c r="F81" s="21" t="s">
        <v>3</v>
      </c>
      <c r="G81" s="21" t="s">
        <v>4</v>
      </c>
      <c r="H81" s="21" t="s">
        <v>5</v>
      </c>
      <c r="I81" s="21" t="s">
        <v>6</v>
      </c>
      <c r="J81" s="21" t="s">
        <v>7</v>
      </c>
      <c r="K81" s="21" t="s">
        <v>8</v>
      </c>
      <c r="L81" s="21" t="s">
        <v>9</v>
      </c>
      <c r="M81" s="21" t="s">
        <v>10</v>
      </c>
      <c r="N81" s="21" t="s">
        <v>11</v>
      </c>
      <c r="O81" s="22" t="s">
        <v>12</v>
      </c>
      <c r="P81" s="21" t="s">
        <v>13</v>
      </c>
      <c r="Q81" s="22" t="s">
        <v>14</v>
      </c>
      <c r="R81" s="21" t="s">
        <v>15</v>
      </c>
      <c r="S81" s="22" t="s">
        <v>16</v>
      </c>
      <c r="T81" s="21" t="s">
        <v>17</v>
      </c>
      <c r="U81" s="22" t="s">
        <v>18</v>
      </c>
      <c r="V81" s="21" t="s">
        <v>19</v>
      </c>
      <c r="W81" s="21" t="s">
        <v>20</v>
      </c>
    </row>
    <row r="82" spans="1:23" ht="13.9" hidden="1" customHeight="1" x14ac:dyDescent="0.25">
      <c r="A82" s="74" t="s">
        <v>68</v>
      </c>
      <c r="B82" s="24">
        <v>311</v>
      </c>
      <c r="C82" s="24" t="s">
        <v>69</v>
      </c>
      <c r="D82" s="75">
        <v>16648</v>
      </c>
      <c r="E82" s="75">
        <v>4551.5</v>
      </c>
      <c r="F82" s="75">
        <v>0</v>
      </c>
      <c r="G82" s="75">
        <v>0</v>
      </c>
      <c r="H82" s="75">
        <v>0</v>
      </c>
      <c r="I82" s="75"/>
      <c r="J82" s="75"/>
      <c r="K82" s="75"/>
      <c r="L82" s="75"/>
      <c r="M82" s="75">
        <f t="shared" ref="M82:M116" si="57">H82+SUM(I82:L82)</f>
        <v>0</v>
      </c>
      <c r="N82" s="75">
        <v>0</v>
      </c>
      <c r="O82" s="76">
        <f t="shared" ref="O82:O122" si="58">IFERROR(N82/$M82,0)</f>
        <v>0</v>
      </c>
      <c r="P82" s="75"/>
      <c r="Q82" s="76">
        <f t="shared" ref="Q82:Q122" si="59">IFERROR(P82/$M82,0)</f>
        <v>0</v>
      </c>
      <c r="R82" s="75"/>
      <c r="S82" s="76">
        <f t="shared" ref="S82:S122" si="60">IFERROR(R82/$M82,0)</f>
        <v>0</v>
      </c>
      <c r="T82" s="75"/>
      <c r="U82" s="76">
        <f t="shared" ref="U82:U122" si="61">IFERROR(T82/$M82,0)</f>
        <v>0</v>
      </c>
      <c r="V82" s="77">
        <f>H82</f>
        <v>0</v>
      </c>
      <c r="W82" s="77">
        <f>V82</f>
        <v>0</v>
      </c>
    </row>
    <row r="83" spans="1:23" ht="13.9" customHeight="1" x14ac:dyDescent="0.25">
      <c r="A83" s="9" t="s">
        <v>68</v>
      </c>
      <c r="B83" s="24">
        <v>312001</v>
      </c>
      <c r="C83" s="24" t="s">
        <v>70</v>
      </c>
      <c r="D83" s="75">
        <v>677361</v>
      </c>
      <c r="E83" s="75">
        <v>681224.61</v>
      </c>
      <c r="F83" s="75">
        <v>648560</v>
      </c>
      <c r="G83" s="75">
        <v>735781</v>
      </c>
      <c r="H83" s="75">
        <v>781000</v>
      </c>
      <c r="I83" s="75">
        <v>11961</v>
      </c>
      <c r="J83" s="75"/>
      <c r="K83" s="75"/>
      <c r="L83" s="75"/>
      <c r="M83" s="75">
        <f t="shared" si="57"/>
        <v>792961</v>
      </c>
      <c r="N83" s="75">
        <v>198278</v>
      </c>
      <c r="O83" s="76">
        <f t="shared" si="58"/>
        <v>0.25004760637660617</v>
      </c>
      <c r="P83" s="75"/>
      <c r="Q83" s="76">
        <f t="shared" si="59"/>
        <v>0</v>
      </c>
      <c r="R83" s="75"/>
      <c r="S83" s="76">
        <f t="shared" si="60"/>
        <v>0</v>
      </c>
      <c r="T83" s="75"/>
      <c r="U83" s="76">
        <f t="shared" si="61"/>
        <v>0</v>
      </c>
      <c r="V83" s="77">
        <v>817628</v>
      </c>
      <c r="W83" s="77">
        <v>824992</v>
      </c>
    </row>
    <row r="84" spans="1:23" ht="13.9" customHeight="1" x14ac:dyDescent="0.25">
      <c r="A84" s="9"/>
      <c r="B84" s="24">
        <v>312001</v>
      </c>
      <c r="C84" s="24" t="s">
        <v>71</v>
      </c>
      <c r="D84" s="75">
        <v>61562.64</v>
      </c>
      <c r="E84" s="75">
        <v>73056.45</v>
      </c>
      <c r="F84" s="75">
        <v>91132</v>
      </c>
      <c r="G84" s="75">
        <v>115883</v>
      </c>
      <c r="H84" s="75">
        <v>99953</v>
      </c>
      <c r="I84" s="75"/>
      <c r="J84" s="75"/>
      <c r="K84" s="75"/>
      <c r="L84" s="75"/>
      <c r="M84" s="75">
        <f t="shared" si="57"/>
        <v>99953</v>
      </c>
      <c r="N84" s="75">
        <v>39227</v>
      </c>
      <c r="O84" s="76">
        <f t="shared" si="58"/>
        <v>0.39245445359318881</v>
      </c>
      <c r="P84" s="75"/>
      <c r="Q84" s="76">
        <f t="shared" si="59"/>
        <v>0</v>
      </c>
      <c r="R84" s="75"/>
      <c r="S84" s="76">
        <f t="shared" si="60"/>
        <v>0</v>
      </c>
      <c r="T84" s="75"/>
      <c r="U84" s="76">
        <f t="shared" si="61"/>
        <v>0</v>
      </c>
      <c r="V84" s="77">
        <v>100173</v>
      </c>
      <c r="W84" s="77">
        <v>100173</v>
      </c>
    </row>
    <row r="85" spans="1:23" ht="13.9" customHeight="1" x14ac:dyDescent="0.25">
      <c r="A85" s="9"/>
      <c r="B85" s="24">
        <v>312001</v>
      </c>
      <c r="C85" s="24" t="s">
        <v>72</v>
      </c>
      <c r="D85" s="75">
        <v>41338.199999999997</v>
      </c>
      <c r="E85" s="75">
        <v>69502.600000000006</v>
      </c>
      <c r="F85" s="75">
        <v>71665</v>
      </c>
      <c r="G85" s="75">
        <v>76782</v>
      </c>
      <c r="H85" s="75">
        <v>80415</v>
      </c>
      <c r="I85" s="75"/>
      <c r="J85" s="75"/>
      <c r="K85" s="75"/>
      <c r="L85" s="75"/>
      <c r="M85" s="75">
        <f t="shared" si="57"/>
        <v>80415</v>
      </c>
      <c r="N85" s="75">
        <v>58596.9</v>
      </c>
      <c r="O85" s="76">
        <f t="shared" si="58"/>
        <v>0.72868121619100912</v>
      </c>
      <c r="P85" s="75"/>
      <c r="Q85" s="76">
        <f t="shared" si="59"/>
        <v>0</v>
      </c>
      <c r="R85" s="75"/>
      <c r="S85" s="76">
        <f t="shared" si="60"/>
        <v>0</v>
      </c>
      <c r="T85" s="75"/>
      <c r="U85" s="76">
        <f t="shared" si="61"/>
        <v>0</v>
      </c>
      <c r="V85" s="75">
        <v>80415</v>
      </c>
      <c r="W85" s="75">
        <v>80415</v>
      </c>
    </row>
    <row r="86" spans="1:23" ht="13.9" customHeight="1" x14ac:dyDescent="0.25">
      <c r="A86" s="9"/>
      <c r="B86" s="24">
        <v>312001</v>
      </c>
      <c r="C86" s="24" t="s">
        <v>73</v>
      </c>
      <c r="D86" s="75">
        <v>0</v>
      </c>
      <c r="E86" s="75">
        <v>29666.31</v>
      </c>
      <c r="F86" s="75">
        <v>15432</v>
      </c>
      <c r="G86" s="75">
        <v>15432</v>
      </c>
      <c r="H86" s="75">
        <v>17592</v>
      </c>
      <c r="I86" s="75"/>
      <c r="J86" s="75"/>
      <c r="K86" s="75"/>
      <c r="L86" s="75"/>
      <c r="M86" s="75">
        <f t="shared" si="57"/>
        <v>17592</v>
      </c>
      <c r="N86" s="75">
        <v>2820.5</v>
      </c>
      <c r="O86" s="76">
        <f t="shared" si="58"/>
        <v>0.16032855843565258</v>
      </c>
      <c r="P86" s="75"/>
      <c r="Q86" s="76">
        <f t="shared" si="59"/>
        <v>0</v>
      </c>
      <c r="R86" s="75"/>
      <c r="S86" s="76">
        <f t="shared" si="60"/>
        <v>0</v>
      </c>
      <c r="T86" s="75"/>
      <c r="U86" s="76">
        <f t="shared" si="61"/>
        <v>0</v>
      </c>
      <c r="V86" s="77">
        <v>0</v>
      </c>
      <c r="W86" s="77">
        <v>0</v>
      </c>
    </row>
    <row r="87" spans="1:23" ht="13.9" customHeight="1" x14ac:dyDescent="0.25">
      <c r="A87" s="9"/>
      <c r="B87" s="24">
        <v>312001</v>
      </c>
      <c r="C87" s="24" t="s">
        <v>74</v>
      </c>
      <c r="D87" s="75">
        <v>0</v>
      </c>
      <c r="E87" s="75">
        <v>0</v>
      </c>
      <c r="F87" s="75">
        <v>0</v>
      </c>
      <c r="G87" s="75">
        <v>2934</v>
      </c>
      <c r="H87" s="75">
        <v>0</v>
      </c>
      <c r="I87" s="75"/>
      <c r="J87" s="75"/>
      <c r="K87" s="75"/>
      <c r="L87" s="75"/>
      <c r="M87" s="75">
        <f t="shared" si="57"/>
        <v>0</v>
      </c>
      <c r="N87" s="75">
        <v>0</v>
      </c>
      <c r="O87" s="76">
        <f t="shared" si="58"/>
        <v>0</v>
      </c>
      <c r="P87" s="75"/>
      <c r="Q87" s="76">
        <f t="shared" si="59"/>
        <v>0</v>
      </c>
      <c r="R87" s="75"/>
      <c r="S87" s="76">
        <f t="shared" si="60"/>
        <v>0</v>
      </c>
      <c r="T87" s="75"/>
      <c r="U87" s="76">
        <f t="shared" si="61"/>
        <v>0</v>
      </c>
      <c r="V87" s="77">
        <f>H87</f>
        <v>0</v>
      </c>
      <c r="W87" s="77">
        <f>V87</f>
        <v>0</v>
      </c>
    </row>
    <row r="88" spans="1:23" ht="13.9" customHeight="1" x14ac:dyDescent="0.25">
      <c r="A88" s="9"/>
      <c r="B88" s="24">
        <v>312001</v>
      </c>
      <c r="C88" s="24" t="s">
        <v>75</v>
      </c>
      <c r="D88" s="75">
        <v>0</v>
      </c>
      <c r="E88" s="75">
        <v>0</v>
      </c>
      <c r="F88" s="75">
        <v>315254</v>
      </c>
      <c r="G88" s="75">
        <v>323525</v>
      </c>
      <c r="H88" s="75">
        <f>342600+6990</f>
        <v>349590</v>
      </c>
      <c r="I88" s="75">
        <v>15307</v>
      </c>
      <c r="J88" s="75"/>
      <c r="K88" s="75"/>
      <c r="L88" s="75"/>
      <c r="M88" s="75">
        <f t="shared" si="57"/>
        <v>364897</v>
      </c>
      <c r="N88" s="75">
        <v>88975</v>
      </c>
      <c r="O88" s="76">
        <f t="shared" si="58"/>
        <v>0.24383593178348958</v>
      </c>
      <c r="P88" s="75"/>
      <c r="Q88" s="76">
        <f t="shared" si="59"/>
        <v>0</v>
      </c>
      <c r="R88" s="75"/>
      <c r="S88" s="76">
        <f t="shared" si="60"/>
        <v>0</v>
      </c>
      <c r="T88" s="75"/>
      <c r="U88" s="76">
        <f t="shared" si="61"/>
        <v>0</v>
      </c>
      <c r="V88" s="77">
        <f>389075+6990</f>
        <v>396065</v>
      </c>
      <c r="W88" s="77">
        <f>397972+6990</f>
        <v>404962</v>
      </c>
    </row>
    <row r="89" spans="1:23" ht="13.9" customHeight="1" x14ac:dyDescent="0.25">
      <c r="A89" s="9"/>
      <c r="B89" s="24">
        <v>312001</v>
      </c>
      <c r="C89" s="24" t="s">
        <v>76</v>
      </c>
      <c r="D89" s="75">
        <v>22348</v>
      </c>
      <c r="E89" s="75">
        <v>33226</v>
      </c>
      <c r="F89" s="75">
        <v>30546</v>
      </c>
      <c r="G89" s="75">
        <v>0</v>
      </c>
      <c r="H89" s="75">
        <v>10800</v>
      </c>
      <c r="I89" s="75"/>
      <c r="J89" s="75"/>
      <c r="K89" s="75"/>
      <c r="L89" s="75"/>
      <c r="M89" s="75">
        <f t="shared" si="57"/>
        <v>10800</v>
      </c>
      <c r="N89" s="75">
        <v>3800</v>
      </c>
      <c r="O89" s="76">
        <f t="shared" si="58"/>
        <v>0.35185185185185186</v>
      </c>
      <c r="P89" s="75"/>
      <c r="Q89" s="76">
        <f t="shared" si="59"/>
        <v>0</v>
      </c>
      <c r="R89" s="75"/>
      <c r="S89" s="76">
        <f t="shared" si="60"/>
        <v>0</v>
      </c>
      <c r="T89" s="75"/>
      <c r="U89" s="76">
        <f t="shared" si="61"/>
        <v>0</v>
      </c>
      <c r="V89" s="77">
        <f>H89</f>
        <v>10800</v>
      </c>
      <c r="W89" s="77">
        <f t="shared" ref="W89:W104" si="62">V89</f>
        <v>10800</v>
      </c>
    </row>
    <row r="90" spans="1:23" ht="13.9" customHeight="1" x14ac:dyDescent="0.25">
      <c r="A90" s="9"/>
      <c r="B90" s="24">
        <v>312001</v>
      </c>
      <c r="C90" s="24" t="s">
        <v>77</v>
      </c>
      <c r="D90" s="75">
        <v>9209.2999999999993</v>
      </c>
      <c r="E90" s="75">
        <v>3420</v>
      </c>
      <c r="F90" s="75">
        <v>3600</v>
      </c>
      <c r="G90" s="75">
        <v>3960</v>
      </c>
      <c r="H90" s="75">
        <v>4320</v>
      </c>
      <c r="I90" s="75"/>
      <c r="J90" s="75"/>
      <c r="K90" s="75"/>
      <c r="L90" s="75"/>
      <c r="M90" s="75">
        <f t="shared" si="57"/>
        <v>4320</v>
      </c>
      <c r="N90" s="75">
        <v>900</v>
      </c>
      <c r="O90" s="76">
        <f t="shared" si="58"/>
        <v>0.20833333333333334</v>
      </c>
      <c r="P90" s="75"/>
      <c r="Q90" s="76">
        <f t="shared" si="59"/>
        <v>0</v>
      </c>
      <c r="R90" s="75"/>
      <c r="S90" s="76">
        <f t="shared" si="60"/>
        <v>0</v>
      </c>
      <c r="T90" s="75"/>
      <c r="U90" s="76">
        <f t="shared" si="61"/>
        <v>0</v>
      </c>
      <c r="V90" s="77">
        <f>H90</f>
        <v>4320</v>
      </c>
      <c r="W90" s="77">
        <f t="shared" si="62"/>
        <v>4320</v>
      </c>
    </row>
    <row r="91" spans="1:23" ht="13.9" customHeight="1" x14ac:dyDescent="0.25">
      <c r="A91" s="9"/>
      <c r="B91" s="24">
        <v>312001</v>
      </c>
      <c r="C91" s="24" t="s">
        <v>78</v>
      </c>
      <c r="D91" s="75">
        <f>45574.27+16000</f>
        <v>61574.27</v>
      </c>
      <c r="E91" s="75">
        <v>57120</v>
      </c>
      <c r="F91" s="75">
        <v>72936</v>
      </c>
      <c r="G91" s="75">
        <v>72936</v>
      </c>
      <c r="H91" s="75">
        <v>72936</v>
      </c>
      <c r="I91" s="75"/>
      <c r="J91" s="75"/>
      <c r="K91" s="75"/>
      <c r="L91" s="75"/>
      <c r="M91" s="75">
        <f t="shared" si="57"/>
        <v>72936</v>
      </c>
      <c r="N91" s="75">
        <v>17984.22</v>
      </c>
      <c r="O91" s="76">
        <f t="shared" si="58"/>
        <v>0.24657535373478121</v>
      </c>
      <c r="P91" s="75"/>
      <c r="Q91" s="76">
        <f t="shared" si="59"/>
        <v>0</v>
      </c>
      <c r="R91" s="75"/>
      <c r="S91" s="76">
        <f t="shared" si="60"/>
        <v>0</v>
      </c>
      <c r="T91" s="75"/>
      <c r="U91" s="76">
        <f t="shared" si="61"/>
        <v>0</v>
      </c>
      <c r="V91" s="77">
        <f>H91</f>
        <v>72936</v>
      </c>
      <c r="W91" s="77">
        <f t="shared" si="62"/>
        <v>72936</v>
      </c>
    </row>
    <row r="92" spans="1:23" ht="13.9" customHeight="1" x14ac:dyDescent="0.25">
      <c r="A92" s="9"/>
      <c r="B92" s="24">
        <v>312001</v>
      </c>
      <c r="C92" s="24" t="s">
        <v>79</v>
      </c>
      <c r="D92" s="75">
        <v>0</v>
      </c>
      <c r="E92" s="75">
        <v>0</v>
      </c>
      <c r="F92" s="75">
        <v>0</v>
      </c>
      <c r="G92" s="75">
        <v>0</v>
      </c>
      <c r="H92" s="75">
        <v>32640</v>
      </c>
      <c r="I92" s="75"/>
      <c r="J92" s="75"/>
      <c r="K92" s="75"/>
      <c r="L92" s="75"/>
      <c r="M92" s="75">
        <f t="shared" si="57"/>
        <v>32640</v>
      </c>
      <c r="N92" s="75">
        <v>7967.24</v>
      </c>
      <c r="O92" s="76">
        <f t="shared" si="58"/>
        <v>0.24409436274509802</v>
      </c>
      <c r="P92" s="75"/>
      <c r="Q92" s="76">
        <f t="shared" si="59"/>
        <v>0</v>
      </c>
      <c r="R92" s="75"/>
      <c r="S92" s="76">
        <f t="shared" si="60"/>
        <v>0</v>
      </c>
      <c r="T92" s="75"/>
      <c r="U92" s="76">
        <f t="shared" si="61"/>
        <v>0</v>
      </c>
      <c r="V92" s="77">
        <f>H92</f>
        <v>32640</v>
      </c>
      <c r="W92" s="77">
        <f t="shared" si="62"/>
        <v>32640</v>
      </c>
    </row>
    <row r="93" spans="1:23" ht="13.9" hidden="1" customHeight="1" x14ac:dyDescent="0.25">
      <c r="A93" s="9"/>
      <c r="B93" s="24">
        <v>312001</v>
      </c>
      <c r="C93" s="24" t="s">
        <v>80</v>
      </c>
      <c r="D93" s="75">
        <v>1835.3</v>
      </c>
      <c r="E93" s="75">
        <v>0</v>
      </c>
      <c r="F93" s="75">
        <v>0</v>
      </c>
      <c r="G93" s="75">
        <v>0</v>
      </c>
      <c r="H93" s="75">
        <v>0</v>
      </c>
      <c r="I93" s="75"/>
      <c r="J93" s="75"/>
      <c r="K93" s="75"/>
      <c r="L93" s="75"/>
      <c r="M93" s="75">
        <f t="shared" si="57"/>
        <v>0</v>
      </c>
      <c r="N93" s="75"/>
      <c r="O93" s="76">
        <f t="shared" si="58"/>
        <v>0</v>
      </c>
      <c r="P93" s="75"/>
      <c r="Q93" s="76">
        <f t="shared" si="59"/>
        <v>0</v>
      </c>
      <c r="R93" s="75"/>
      <c r="S93" s="76">
        <f t="shared" si="60"/>
        <v>0</v>
      </c>
      <c r="T93" s="75"/>
      <c r="U93" s="76">
        <f t="shared" si="61"/>
        <v>0</v>
      </c>
      <c r="V93" s="75">
        <f>výdaje!Y342</f>
        <v>0</v>
      </c>
      <c r="W93" s="77">
        <f t="shared" si="62"/>
        <v>0</v>
      </c>
    </row>
    <row r="94" spans="1:23" ht="13.9" hidden="1" customHeight="1" x14ac:dyDescent="0.25">
      <c r="A94" s="9"/>
      <c r="B94" s="24">
        <v>312001</v>
      </c>
      <c r="C94" s="24" t="s">
        <v>81</v>
      </c>
      <c r="D94" s="75">
        <v>18765.39</v>
      </c>
      <c r="E94" s="75">
        <v>7670.09</v>
      </c>
      <c r="F94" s="75">
        <v>0</v>
      </c>
      <c r="G94" s="75">
        <v>0</v>
      </c>
      <c r="H94" s="75">
        <v>0</v>
      </c>
      <c r="I94" s="75"/>
      <c r="J94" s="75"/>
      <c r="K94" s="75"/>
      <c r="L94" s="75"/>
      <c r="M94" s="75">
        <f t="shared" si="57"/>
        <v>0</v>
      </c>
      <c r="N94" s="75"/>
      <c r="O94" s="76">
        <f t="shared" si="58"/>
        <v>0</v>
      </c>
      <c r="P94" s="75"/>
      <c r="Q94" s="76">
        <f t="shared" si="59"/>
        <v>0</v>
      </c>
      <c r="R94" s="75"/>
      <c r="S94" s="76">
        <f t="shared" si="60"/>
        <v>0</v>
      </c>
      <c r="T94" s="75"/>
      <c r="U94" s="76">
        <f t="shared" si="61"/>
        <v>0</v>
      </c>
      <c r="V94" s="75">
        <v>0</v>
      </c>
      <c r="W94" s="77">
        <f t="shared" si="62"/>
        <v>0</v>
      </c>
    </row>
    <row r="95" spans="1:23" ht="13.9" customHeight="1" x14ac:dyDescent="0.25">
      <c r="A95" s="9"/>
      <c r="B95" s="24">
        <v>312001</v>
      </c>
      <c r="C95" s="24" t="s">
        <v>82</v>
      </c>
      <c r="D95" s="75">
        <v>53518</v>
      </c>
      <c r="E95" s="75">
        <v>49332</v>
      </c>
      <c r="F95" s="75">
        <v>0</v>
      </c>
      <c r="G95" s="75">
        <v>9348</v>
      </c>
      <c r="H95" s="75">
        <v>0</v>
      </c>
      <c r="I95" s="75">
        <v>1620</v>
      </c>
      <c r="J95" s="75"/>
      <c r="K95" s="75"/>
      <c r="L95" s="75"/>
      <c r="M95" s="75">
        <f t="shared" si="57"/>
        <v>1620</v>
      </c>
      <c r="N95" s="75">
        <v>1620</v>
      </c>
      <c r="O95" s="76">
        <f t="shared" si="58"/>
        <v>1</v>
      </c>
      <c r="P95" s="75"/>
      <c r="Q95" s="76">
        <f t="shared" si="59"/>
        <v>0</v>
      </c>
      <c r="R95" s="75"/>
      <c r="S95" s="76">
        <f t="shared" si="60"/>
        <v>0</v>
      </c>
      <c r="T95" s="75"/>
      <c r="U95" s="76">
        <f t="shared" si="61"/>
        <v>0</v>
      </c>
      <c r="V95" s="75">
        <v>0</v>
      </c>
      <c r="W95" s="77">
        <f t="shared" si="62"/>
        <v>0</v>
      </c>
    </row>
    <row r="96" spans="1:23" ht="13.9" hidden="1" customHeight="1" x14ac:dyDescent="0.25">
      <c r="A96" s="9"/>
      <c r="B96" s="24">
        <v>312001</v>
      </c>
      <c r="C96" s="24" t="s">
        <v>83</v>
      </c>
      <c r="D96" s="75">
        <v>59800</v>
      </c>
      <c r="E96" s="75">
        <v>0</v>
      </c>
      <c r="F96" s="75">
        <v>0</v>
      </c>
      <c r="G96" s="75">
        <v>0</v>
      </c>
      <c r="H96" s="75">
        <v>0</v>
      </c>
      <c r="I96" s="75"/>
      <c r="J96" s="75"/>
      <c r="K96" s="75"/>
      <c r="L96" s="75"/>
      <c r="M96" s="75">
        <f t="shared" si="57"/>
        <v>0</v>
      </c>
      <c r="N96" s="75"/>
      <c r="O96" s="76">
        <f t="shared" si="58"/>
        <v>0</v>
      </c>
      <c r="P96" s="75"/>
      <c r="Q96" s="76">
        <f t="shared" si="59"/>
        <v>0</v>
      </c>
      <c r="R96" s="75"/>
      <c r="S96" s="76">
        <f t="shared" si="60"/>
        <v>0</v>
      </c>
      <c r="T96" s="75"/>
      <c r="U96" s="76">
        <f t="shared" si="61"/>
        <v>0</v>
      </c>
      <c r="V96" s="75">
        <v>0</v>
      </c>
      <c r="W96" s="77">
        <f t="shared" si="62"/>
        <v>0</v>
      </c>
    </row>
    <row r="97" spans="1:23" ht="13.9" hidden="1" customHeight="1" x14ac:dyDescent="0.25">
      <c r="A97" s="9"/>
      <c r="B97" s="24">
        <v>312001</v>
      </c>
      <c r="C97" s="24" t="s">
        <v>84</v>
      </c>
      <c r="D97" s="75">
        <v>40900.31</v>
      </c>
      <c r="E97" s="75">
        <v>24494</v>
      </c>
      <c r="F97" s="75">
        <v>0</v>
      </c>
      <c r="G97" s="75">
        <v>26520</v>
      </c>
      <c r="H97" s="75">
        <v>0</v>
      </c>
      <c r="I97" s="75"/>
      <c r="J97" s="75"/>
      <c r="K97" s="75"/>
      <c r="L97" s="75"/>
      <c r="M97" s="75">
        <f t="shared" si="57"/>
        <v>0</v>
      </c>
      <c r="N97" s="75"/>
      <c r="O97" s="76">
        <f t="shared" si="58"/>
        <v>0</v>
      </c>
      <c r="P97" s="75"/>
      <c r="Q97" s="76">
        <f t="shared" si="59"/>
        <v>0</v>
      </c>
      <c r="R97" s="75"/>
      <c r="S97" s="76">
        <f t="shared" si="60"/>
        <v>0</v>
      </c>
      <c r="T97" s="75"/>
      <c r="U97" s="76">
        <f t="shared" si="61"/>
        <v>0</v>
      </c>
      <c r="V97" s="75">
        <v>0</v>
      </c>
      <c r="W97" s="77">
        <f t="shared" si="62"/>
        <v>0</v>
      </c>
    </row>
    <row r="98" spans="1:23" ht="13.9" customHeight="1" x14ac:dyDescent="0.25">
      <c r="A98" s="9"/>
      <c r="B98" s="24">
        <v>312001</v>
      </c>
      <c r="C98" s="24" t="s">
        <v>85</v>
      </c>
      <c r="D98" s="75">
        <v>0</v>
      </c>
      <c r="E98" s="75">
        <v>213.6</v>
      </c>
      <c r="F98" s="75">
        <v>214</v>
      </c>
      <c r="G98" s="75">
        <v>107</v>
      </c>
      <c r="H98" s="75">
        <v>107</v>
      </c>
      <c r="I98" s="75"/>
      <c r="J98" s="75"/>
      <c r="K98" s="75"/>
      <c r="L98" s="75"/>
      <c r="M98" s="75">
        <f t="shared" si="57"/>
        <v>107</v>
      </c>
      <c r="N98" s="75">
        <v>0</v>
      </c>
      <c r="O98" s="76">
        <f t="shared" si="58"/>
        <v>0</v>
      </c>
      <c r="P98" s="75"/>
      <c r="Q98" s="76">
        <f t="shared" si="59"/>
        <v>0</v>
      </c>
      <c r="R98" s="75"/>
      <c r="S98" s="76">
        <f t="shared" si="60"/>
        <v>0</v>
      </c>
      <c r="T98" s="75"/>
      <c r="U98" s="76">
        <f t="shared" si="61"/>
        <v>0</v>
      </c>
      <c r="V98" s="75">
        <f t="shared" ref="V98:V104" si="63">H98</f>
        <v>107</v>
      </c>
      <c r="W98" s="77">
        <f t="shared" si="62"/>
        <v>107</v>
      </c>
    </row>
    <row r="99" spans="1:23" ht="13.9" customHeight="1" x14ac:dyDescent="0.25">
      <c r="A99" s="9"/>
      <c r="B99" s="24">
        <v>312012</v>
      </c>
      <c r="C99" s="24" t="s">
        <v>86</v>
      </c>
      <c r="D99" s="75">
        <v>4829.17</v>
      </c>
      <c r="E99" s="75">
        <v>0</v>
      </c>
      <c r="F99" s="75">
        <v>0</v>
      </c>
      <c r="G99" s="75">
        <v>5261</v>
      </c>
      <c r="H99" s="75">
        <v>5261</v>
      </c>
      <c r="I99" s="75"/>
      <c r="J99" s="75"/>
      <c r="K99" s="75"/>
      <c r="L99" s="75"/>
      <c r="M99" s="75">
        <f t="shared" si="57"/>
        <v>5261</v>
      </c>
      <c r="N99" s="75">
        <v>0</v>
      </c>
      <c r="O99" s="76">
        <f t="shared" si="58"/>
        <v>0</v>
      </c>
      <c r="P99" s="75"/>
      <c r="Q99" s="76">
        <f t="shared" si="59"/>
        <v>0</v>
      </c>
      <c r="R99" s="75"/>
      <c r="S99" s="76">
        <f t="shared" si="60"/>
        <v>0</v>
      </c>
      <c r="T99" s="75"/>
      <c r="U99" s="76">
        <f t="shared" si="61"/>
        <v>0</v>
      </c>
      <c r="V99" s="77">
        <f t="shared" si="63"/>
        <v>5261</v>
      </c>
      <c r="W99" s="77">
        <f t="shared" si="62"/>
        <v>5261</v>
      </c>
    </row>
    <row r="100" spans="1:23" ht="13.9" customHeight="1" x14ac:dyDescent="0.25">
      <c r="A100" s="9"/>
      <c r="B100" s="24">
        <v>312012</v>
      </c>
      <c r="C100" s="24" t="s">
        <v>87</v>
      </c>
      <c r="D100" s="75">
        <v>137.55000000000001</v>
      </c>
      <c r="E100" s="75">
        <v>139.06</v>
      </c>
      <c r="F100" s="75">
        <v>139</v>
      </c>
      <c r="G100" s="75">
        <v>139</v>
      </c>
      <c r="H100" s="75">
        <v>139</v>
      </c>
      <c r="I100" s="75"/>
      <c r="J100" s="75"/>
      <c r="K100" s="75"/>
      <c r="L100" s="75"/>
      <c r="M100" s="75">
        <f t="shared" si="57"/>
        <v>139</v>
      </c>
      <c r="N100" s="75">
        <v>0</v>
      </c>
      <c r="O100" s="76">
        <f t="shared" si="58"/>
        <v>0</v>
      </c>
      <c r="P100" s="75"/>
      <c r="Q100" s="76">
        <f t="shared" si="59"/>
        <v>0</v>
      </c>
      <c r="R100" s="75"/>
      <c r="S100" s="76">
        <f t="shared" si="60"/>
        <v>0</v>
      </c>
      <c r="T100" s="75"/>
      <c r="U100" s="76">
        <f t="shared" si="61"/>
        <v>0</v>
      </c>
      <c r="V100" s="77">
        <f t="shared" si="63"/>
        <v>139</v>
      </c>
      <c r="W100" s="77">
        <f t="shared" si="62"/>
        <v>139</v>
      </c>
    </row>
    <row r="101" spans="1:23" ht="13.9" customHeight="1" x14ac:dyDescent="0.25">
      <c r="A101" s="9"/>
      <c r="B101" s="24">
        <v>312012</v>
      </c>
      <c r="C101" s="24" t="s">
        <v>88</v>
      </c>
      <c r="D101" s="75">
        <v>352.33</v>
      </c>
      <c r="E101" s="75">
        <v>389.57</v>
      </c>
      <c r="F101" s="75">
        <v>390</v>
      </c>
      <c r="G101" s="75">
        <v>420</v>
      </c>
      <c r="H101" s="75">
        <v>420</v>
      </c>
      <c r="I101" s="75">
        <v>30</v>
      </c>
      <c r="J101" s="75"/>
      <c r="K101" s="75"/>
      <c r="L101" s="75"/>
      <c r="M101" s="75">
        <f t="shared" si="57"/>
        <v>450</v>
      </c>
      <c r="N101" s="75">
        <v>0</v>
      </c>
      <c r="O101" s="76">
        <f t="shared" si="58"/>
        <v>0</v>
      </c>
      <c r="P101" s="75"/>
      <c r="Q101" s="76">
        <f t="shared" si="59"/>
        <v>0</v>
      </c>
      <c r="R101" s="75"/>
      <c r="S101" s="76">
        <f t="shared" si="60"/>
        <v>0</v>
      </c>
      <c r="T101" s="75"/>
      <c r="U101" s="76">
        <f t="shared" si="61"/>
        <v>0</v>
      </c>
      <c r="V101" s="77">
        <f t="shared" si="63"/>
        <v>420</v>
      </c>
      <c r="W101" s="77">
        <f t="shared" si="62"/>
        <v>420</v>
      </c>
    </row>
    <row r="102" spans="1:23" ht="13.9" customHeight="1" x14ac:dyDescent="0.25">
      <c r="A102" s="9"/>
      <c r="B102" s="24">
        <v>312012</v>
      </c>
      <c r="C102" s="24" t="s">
        <v>89</v>
      </c>
      <c r="D102" s="75">
        <v>6082.83</v>
      </c>
      <c r="E102" s="75">
        <v>6706.86</v>
      </c>
      <c r="F102" s="75">
        <v>6707</v>
      </c>
      <c r="G102" s="75">
        <v>6759</v>
      </c>
      <c r="H102" s="75">
        <v>6759</v>
      </c>
      <c r="I102" s="75">
        <v>420</v>
      </c>
      <c r="J102" s="75"/>
      <c r="K102" s="75"/>
      <c r="L102" s="75"/>
      <c r="M102" s="75">
        <f t="shared" si="57"/>
        <v>7179</v>
      </c>
      <c r="N102" s="75">
        <v>7179.22</v>
      </c>
      <c r="O102" s="76">
        <f t="shared" si="58"/>
        <v>1.0000306449366207</v>
      </c>
      <c r="P102" s="75"/>
      <c r="Q102" s="76">
        <f t="shared" si="59"/>
        <v>0</v>
      </c>
      <c r="R102" s="75"/>
      <c r="S102" s="76">
        <f t="shared" si="60"/>
        <v>0</v>
      </c>
      <c r="T102" s="75"/>
      <c r="U102" s="76">
        <f t="shared" si="61"/>
        <v>0</v>
      </c>
      <c r="V102" s="77">
        <f t="shared" si="63"/>
        <v>6759</v>
      </c>
      <c r="W102" s="77">
        <f t="shared" si="62"/>
        <v>6759</v>
      </c>
    </row>
    <row r="103" spans="1:23" ht="13.9" customHeight="1" x14ac:dyDescent="0.25">
      <c r="A103" s="9"/>
      <c r="B103" s="24">
        <v>312012</v>
      </c>
      <c r="C103" s="24" t="s">
        <v>90</v>
      </c>
      <c r="D103" s="75">
        <v>1094.32</v>
      </c>
      <c r="E103" s="75">
        <v>1097.8699999999999</v>
      </c>
      <c r="F103" s="75">
        <v>1098</v>
      </c>
      <c r="G103" s="75">
        <v>1090</v>
      </c>
      <c r="H103" s="75">
        <v>1090</v>
      </c>
      <c r="I103" s="75">
        <v>-5</v>
      </c>
      <c r="J103" s="75"/>
      <c r="K103" s="75"/>
      <c r="L103" s="75"/>
      <c r="M103" s="75">
        <f t="shared" si="57"/>
        <v>1085</v>
      </c>
      <c r="N103" s="75">
        <v>1085.43</v>
      </c>
      <c r="O103" s="76">
        <f t="shared" si="58"/>
        <v>1.0003963133640554</v>
      </c>
      <c r="P103" s="75"/>
      <c r="Q103" s="76">
        <f t="shared" si="59"/>
        <v>0</v>
      </c>
      <c r="R103" s="75"/>
      <c r="S103" s="76">
        <f t="shared" si="60"/>
        <v>0</v>
      </c>
      <c r="T103" s="75"/>
      <c r="U103" s="76">
        <f t="shared" si="61"/>
        <v>0</v>
      </c>
      <c r="V103" s="77">
        <f t="shared" si="63"/>
        <v>1090</v>
      </c>
      <c r="W103" s="77">
        <f t="shared" si="62"/>
        <v>1090</v>
      </c>
    </row>
    <row r="104" spans="1:23" ht="13.9" customHeight="1" x14ac:dyDescent="0.25">
      <c r="A104" s="9"/>
      <c r="B104" s="24">
        <v>312012</v>
      </c>
      <c r="C104" s="24" t="s">
        <v>91</v>
      </c>
      <c r="D104" s="75">
        <v>6035.42</v>
      </c>
      <c r="E104" s="75">
        <v>362.04</v>
      </c>
      <c r="F104" s="75">
        <v>312</v>
      </c>
      <c r="G104" s="75">
        <v>312</v>
      </c>
      <c r="H104" s="75">
        <v>312</v>
      </c>
      <c r="I104" s="75"/>
      <c r="J104" s="75"/>
      <c r="K104" s="75"/>
      <c r="L104" s="75"/>
      <c r="M104" s="75">
        <f t="shared" si="57"/>
        <v>312</v>
      </c>
      <c r="N104" s="75">
        <v>0</v>
      </c>
      <c r="O104" s="76">
        <f t="shared" si="58"/>
        <v>0</v>
      </c>
      <c r="P104" s="75"/>
      <c r="Q104" s="76">
        <f t="shared" si="59"/>
        <v>0</v>
      </c>
      <c r="R104" s="75"/>
      <c r="S104" s="76">
        <f t="shared" si="60"/>
        <v>0</v>
      </c>
      <c r="T104" s="75"/>
      <c r="U104" s="76">
        <f t="shared" si="61"/>
        <v>0</v>
      </c>
      <c r="V104" s="77">
        <f t="shared" si="63"/>
        <v>312</v>
      </c>
      <c r="W104" s="77">
        <f t="shared" si="62"/>
        <v>312</v>
      </c>
    </row>
    <row r="105" spans="1:23" ht="13.9" customHeight="1" x14ac:dyDescent="0.25">
      <c r="A105" s="9"/>
      <c r="B105" s="24">
        <v>312001</v>
      </c>
      <c r="C105" s="24" t="s">
        <v>92</v>
      </c>
      <c r="D105" s="75">
        <v>3232.62</v>
      </c>
      <c r="E105" s="75">
        <v>7643.12</v>
      </c>
      <c r="F105" s="75">
        <v>0</v>
      </c>
      <c r="G105" s="75">
        <v>0</v>
      </c>
      <c r="H105" s="75">
        <v>5000</v>
      </c>
      <c r="I105" s="75"/>
      <c r="J105" s="75"/>
      <c r="K105" s="75"/>
      <c r="L105" s="75"/>
      <c r="M105" s="75">
        <f t="shared" si="57"/>
        <v>5000</v>
      </c>
      <c r="N105" s="75">
        <v>0</v>
      </c>
      <c r="O105" s="76">
        <f t="shared" si="58"/>
        <v>0</v>
      </c>
      <c r="P105" s="75"/>
      <c r="Q105" s="76">
        <f t="shared" si="59"/>
        <v>0</v>
      </c>
      <c r="R105" s="75"/>
      <c r="S105" s="76">
        <f t="shared" si="60"/>
        <v>0</v>
      </c>
      <c r="T105" s="75"/>
      <c r="U105" s="76">
        <f t="shared" si="61"/>
        <v>0</v>
      </c>
      <c r="V105" s="75">
        <v>2500</v>
      </c>
      <c r="W105" s="75">
        <v>0</v>
      </c>
    </row>
    <row r="106" spans="1:23" ht="13.9" hidden="1" customHeight="1" x14ac:dyDescent="0.25">
      <c r="A106" s="9"/>
      <c r="B106" s="24">
        <v>322001</v>
      </c>
      <c r="C106" s="24" t="s">
        <v>93</v>
      </c>
      <c r="D106" s="77">
        <v>247170.43</v>
      </c>
      <c r="E106" s="77">
        <v>0</v>
      </c>
      <c r="F106" s="77">
        <v>0</v>
      </c>
      <c r="G106" s="77">
        <v>0</v>
      </c>
      <c r="H106" s="77">
        <v>0</v>
      </c>
      <c r="I106" s="77"/>
      <c r="J106" s="77"/>
      <c r="K106" s="77"/>
      <c r="L106" s="77"/>
      <c r="M106" s="77">
        <f t="shared" si="57"/>
        <v>0</v>
      </c>
      <c r="N106" s="77"/>
      <c r="O106" s="78">
        <f t="shared" si="58"/>
        <v>0</v>
      </c>
      <c r="P106" s="77"/>
      <c r="Q106" s="78">
        <f t="shared" si="59"/>
        <v>0</v>
      </c>
      <c r="R106" s="77"/>
      <c r="S106" s="78">
        <f t="shared" si="60"/>
        <v>0</v>
      </c>
      <c r="T106" s="77"/>
      <c r="U106" s="78">
        <f t="shared" si="61"/>
        <v>0</v>
      </c>
      <c r="V106" s="77">
        <v>0</v>
      </c>
      <c r="W106" s="77">
        <v>0</v>
      </c>
    </row>
    <row r="107" spans="1:23" ht="13.9" customHeight="1" x14ac:dyDescent="0.25">
      <c r="A107" s="9"/>
      <c r="B107" s="24">
        <v>322001</v>
      </c>
      <c r="C107" s="24" t="s">
        <v>94</v>
      </c>
      <c r="D107" s="77">
        <v>0</v>
      </c>
      <c r="E107" s="77">
        <v>0</v>
      </c>
      <c r="F107" s="77">
        <v>138109</v>
      </c>
      <c r="G107" s="77">
        <v>0</v>
      </c>
      <c r="H107" s="77">
        <v>0</v>
      </c>
      <c r="I107" s="77">
        <v>138108</v>
      </c>
      <c r="J107" s="77"/>
      <c r="K107" s="77"/>
      <c r="L107" s="77"/>
      <c r="M107" s="77">
        <f t="shared" si="57"/>
        <v>138108</v>
      </c>
      <c r="N107" s="77">
        <v>0</v>
      </c>
      <c r="O107" s="78">
        <f t="shared" si="58"/>
        <v>0</v>
      </c>
      <c r="P107" s="77"/>
      <c r="Q107" s="78">
        <f t="shared" si="59"/>
        <v>0</v>
      </c>
      <c r="R107" s="77"/>
      <c r="S107" s="78">
        <f t="shared" si="60"/>
        <v>0</v>
      </c>
      <c r="T107" s="77"/>
      <c r="U107" s="78">
        <f t="shared" si="61"/>
        <v>0</v>
      </c>
      <c r="V107" s="77">
        <v>0</v>
      </c>
      <c r="W107" s="77">
        <v>0</v>
      </c>
    </row>
    <row r="108" spans="1:23" ht="13.9" hidden="1" customHeight="1" x14ac:dyDescent="0.25">
      <c r="A108" s="9"/>
      <c r="B108" s="24">
        <v>322001</v>
      </c>
      <c r="C108" s="24" t="s">
        <v>95</v>
      </c>
      <c r="D108" s="77">
        <v>0</v>
      </c>
      <c r="E108" s="77">
        <v>46091.34</v>
      </c>
      <c r="F108" s="77">
        <v>0</v>
      </c>
      <c r="G108" s="77">
        <v>0</v>
      </c>
      <c r="H108" s="77">
        <v>0</v>
      </c>
      <c r="I108" s="77"/>
      <c r="J108" s="77"/>
      <c r="K108" s="77"/>
      <c r="L108" s="77"/>
      <c r="M108" s="77">
        <f t="shared" si="57"/>
        <v>0</v>
      </c>
      <c r="N108" s="77"/>
      <c r="O108" s="78">
        <f t="shared" si="58"/>
        <v>0</v>
      </c>
      <c r="P108" s="77"/>
      <c r="Q108" s="78">
        <f t="shared" si="59"/>
        <v>0</v>
      </c>
      <c r="R108" s="77"/>
      <c r="S108" s="78">
        <f t="shared" si="60"/>
        <v>0</v>
      </c>
      <c r="T108" s="77"/>
      <c r="U108" s="78">
        <f t="shared" si="61"/>
        <v>0</v>
      </c>
      <c r="V108" s="77">
        <v>0</v>
      </c>
      <c r="W108" s="77">
        <v>0</v>
      </c>
    </row>
    <row r="109" spans="1:23" ht="13.9" hidden="1" customHeight="1" x14ac:dyDescent="0.25">
      <c r="A109" s="9"/>
      <c r="B109" s="24">
        <v>322001</v>
      </c>
      <c r="C109" s="24" t="s">
        <v>96</v>
      </c>
      <c r="D109" s="77">
        <v>0</v>
      </c>
      <c r="E109" s="77">
        <v>14850</v>
      </c>
      <c r="F109" s="77">
        <v>14850</v>
      </c>
      <c r="G109" s="77">
        <v>0</v>
      </c>
      <c r="H109" s="77">
        <v>0</v>
      </c>
      <c r="I109" s="77"/>
      <c r="J109" s="77"/>
      <c r="K109" s="77"/>
      <c r="L109" s="77"/>
      <c r="M109" s="77">
        <f t="shared" si="57"/>
        <v>0</v>
      </c>
      <c r="N109" s="77"/>
      <c r="O109" s="78">
        <f t="shared" si="58"/>
        <v>0</v>
      </c>
      <c r="P109" s="77"/>
      <c r="Q109" s="78">
        <f t="shared" si="59"/>
        <v>0</v>
      </c>
      <c r="R109" s="77"/>
      <c r="S109" s="78">
        <f t="shared" si="60"/>
        <v>0</v>
      </c>
      <c r="T109" s="77"/>
      <c r="U109" s="78">
        <f t="shared" si="61"/>
        <v>0</v>
      </c>
      <c r="V109" s="77">
        <v>0</v>
      </c>
      <c r="W109" s="77">
        <v>0</v>
      </c>
    </row>
    <row r="110" spans="1:23" ht="13.9" customHeight="1" x14ac:dyDescent="0.25">
      <c r="A110" s="9"/>
      <c r="B110" s="24">
        <v>322001</v>
      </c>
      <c r="C110" s="24" t="s">
        <v>97</v>
      </c>
      <c r="D110" s="77">
        <v>0</v>
      </c>
      <c r="E110" s="77">
        <v>0</v>
      </c>
      <c r="F110" s="77">
        <v>409438</v>
      </c>
      <c r="G110" s="77">
        <v>92467</v>
      </c>
      <c r="H110" s="77">
        <v>200633</v>
      </c>
      <c r="I110" s="77"/>
      <c r="J110" s="77"/>
      <c r="K110" s="77"/>
      <c r="L110" s="77"/>
      <c r="M110" s="77">
        <f t="shared" si="57"/>
        <v>200633</v>
      </c>
      <c r="N110" s="77">
        <v>0</v>
      </c>
      <c r="O110" s="78">
        <f t="shared" si="58"/>
        <v>0</v>
      </c>
      <c r="P110" s="77"/>
      <c r="Q110" s="78">
        <f t="shared" si="59"/>
        <v>0</v>
      </c>
      <c r="R110" s="77"/>
      <c r="S110" s="78">
        <f t="shared" si="60"/>
        <v>0</v>
      </c>
      <c r="T110" s="77"/>
      <c r="U110" s="78">
        <f t="shared" si="61"/>
        <v>0</v>
      </c>
      <c r="V110" s="77">
        <v>0</v>
      </c>
      <c r="W110" s="77">
        <v>0</v>
      </c>
    </row>
    <row r="111" spans="1:23" ht="13.9" hidden="1" customHeight="1" x14ac:dyDescent="0.25">
      <c r="A111" s="9"/>
      <c r="B111" s="24">
        <v>322001</v>
      </c>
      <c r="C111" s="24" t="s">
        <v>98</v>
      </c>
      <c r="D111" s="77">
        <v>155461.32999999999</v>
      </c>
      <c r="E111" s="77">
        <v>0</v>
      </c>
      <c r="F111" s="77">
        <v>0</v>
      </c>
      <c r="G111" s="77">
        <v>0</v>
      </c>
      <c r="H111" s="77">
        <v>0</v>
      </c>
      <c r="I111" s="77"/>
      <c r="J111" s="77"/>
      <c r="K111" s="77"/>
      <c r="L111" s="77"/>
      <c r="M111" s="77">
        <f t="shared" si="57"/>
        <v>0</v>
      </c>
      <c r="N111" s="77"/>
      <c r="O111" s="78">
        <f t="shared" si="58"/>
        <v>0</v>
      </c>
      <c r="P111" s="77"/>
      <c r="Q111" s="78">
        <f t="shared" si="59"/>
        <v>0</v>
      </c>
      <c r="R111" s="77"/>
      <c r="S111" s="78">
        <f t="shared" si="60"/>
        <v>0</v>
      </c>
      <c r="T111" s="77"/>
      <c r="U111" s="78">
        <f t="shared" si="61"/>
        <v>0</v>
      </c>
      <c r="V111" s="77">
        <v>0</v>
      </c>
      <c r="W111" s="77">
        <v>0</v>
      </c>
    </row>
    <row r="112" spans="1:23" ht="13.9" hidden="1" customHeight="1" x14ac:dyDescent="0.25">
      <c r="A112" s="9"/>
      <c r="B112" s="24">
        <v>322001</v>
      </c>
      <c r="C112" s="24" t="s">
        <v>99</v>
      </c>
      <c r="D112" s="77">
        <v>0</v>
      </c>
      <c r="E112" s="77">
        <v>185188.3</v>
      </c>
      <c r="F112" s="77">
        <v>258643</v>
      </c>
      <c r="G112" s="77">
        <v>255024</v>
      </c>
      <c r="H112" s="77">
        <v>0</v>
      </c>
      <c r="I112" s="77"/>
      <c r="J112" s="77"/>
      <c r="K112" s="77"/>
      <c r="L112" s="77"/>
      <c r="M112" s="77">
        <f t="shared" si="57"/>
        <v>0</v>
      </c>
      <c r="N112" s="77"/>
      <c r="O112" s="78">
        <f t="shared" si="58"/>
        <v>0</v>
      </c>
      <c r="P112" s="77"/>
      <c r="Q112" s="78">
        <f t="shared" si="59"/>
        <v>0</v>
      </c>
      <c r="R112" s="77"/>
      <c r="S112" s="78">
        <f t="shared" si="60"/>
        <v>0</v>
      </c>
      <c r="T112" s="77"/>
      <c r="U112" s="78">
        <f t="shared" si="61"/>
        <v>0</v>
      </c>
      <c r="V112" s="77">
        <v>0</v>
      </c>
      <c r="W112" s="77">
        <v>0</v>
      </c>
    </row>
    <row r="113" spans="1:23" ht="13.9" hidden="1" customHeight="1" x14ac:dyDescent="0.25">
      <c r="A113" s="9"/>
      <c r="B113" s="24">
        <v>322001</v>
      </c>
      <c r="C113" s="24" t="s">
        <v>100</v>
      </c>
      <c r="D113" s="77">
        <v>0</v>
      </c>
      <c r="E113" s="77">
        <v>0</v>
      </c>
      <c r="F113" s="77">
        <v>0</v>
      </c>
      <c r="G113" s="77">
        <v>14000</v>
      </c>
      <c r="H113" s="77">
        <v>0</v>
      </c>
      <c r="I113" s="77"/>
      <c r="J113" s="77"/>
      <c r="K113" s="77"/>
      <c r="L113" s="77"/>
      <c r="M113" s="77">
        <f t="shared" si="57"/>
        <v>0</v>
      </c>
      <c r="N113" s="77"/>
      <c r="O113" s="78">
        <f t="shared" si="58"/>
        <v>0</v>
      </c>
      <c r="P113" s="77"/>
      <c r="Q113" s="78">
        <f t="shared" si="59"/>
        <v>0</v>
      </c>
      <c r="R113" s="77"/>
      <c r="S113" s="78">
        <f t="shared" si="60"/>
        <v>0</v>
      </c>
      <c r="T113" s="77"/>
      <c r="U113" s="78">
        <f t="shared" si="61"/>
        <v>0</v>
      </c>
      <c r="V113" s="77">
        <v>0</v>
      </c>
      <c r="W113" s="77">
        <v>0</v>
      </c>
    </row>
    <row r="114" spans="1:23" ht="13.9" customHeight="1" x14ac:dyDescent="0.25">
      <c r="A114" s="9"/>
      <c r="B114" s="24">
        <v>322001</v>
      </c>
      <c r="C114" s="24" t="s">
        <v>101</v>
      </c>
      <c r="D114" s="77">
        <v>0</v>
      </c>
      <c r="E114" s="77">
        <v>0</v>
      </c>
      <c r="F114" s="77">
        <v>0</v>
      </c>
      <c r="G114" s="77">
        <v>0</v>
      </c>
      <c r="H114" s="77">
        <v>48726</v>
      </c>
      <c r="I114" s="77"/>
      <c r="J114" s="77"/>
      <c r="K114" s="77"/>
      <c r="L114" s="77"/>
      <c r="M114" s="77">
        <f t="shared" si="57"/>
        <v>48726</v>
      </c>
      <c r="N114" s="77">
        <v>0</v>
      </c>
      <c r="O114" s="78">
        <f t="shared" si="58"/>
        <v>0</v>
      </c>
      <c r="P114" s="77"/>
      <c r="Q114" s="78">
        <f t="shared" si="59"/>
        <v>0</v>
      </c>
      <c r="R114" s="77"/>
      <c r="S114" s="78">
        <f t="shared" si="60"/>
        <v>0</v>
      </c>
      <c r="T114" s="77"/>
      <c r="U114" s="78">
        <f t="shared" si="61"/>
        <v>0</v>
      </c>
      <c r="V114" s="77">
        <v>0</v>
      </c>
      <c r="W114" s="77">
        <v>0</v>
      </c>
    </row>
    <row r="115" spans="1:23" ht="13.9" customHeight="1" x14ac:dyDescent="0.25">
      <c r="A115" s="9"/>
      <c r="B115" s="24">
        <v>322001</v>
      </c>
      <c r="C115" s="24" t="s">
        <v>102</v>
      </c>
      <c r="D115" s="77">
        <v>0</v>
      </c>
      <c r="E115" s="77">
        <v>0</v>
      </c>
      <c r="F115" s="77">
        <v>0</v>
      </c>
      <c r="G115" s="77">
        <v>0</v>
      </c>
      <c r="H115" s="77">
        <v>312660</v>
      </c>
      <c r="I115" s="77"/>
      <c r="J115" s="77"/>
      <c r="K115" s="77"/>
      <c r="L115" s="77"/>
      <c r="M115" s="77">
        <f t="shared" si="57"/>
        <v>312660</v>
      </c>
      <c r="N115" s="77">
        <v>0</v>
      </c>
      <c r="O115" s="78">
        <f t="shared" si="58"/>
        <v>0</v>
      </c>
      <c r="P115" s="77"/>
      <c r="Q115" s="78">
        <f t="shared" si="59"/>
        <v>0</v>
      </c>
      <c r="R115" s="77"/>
      <c r="S115" s="78">
        <f t="shared" si="60"/>
        <v>0</v>
      </c>
      <c r="T115" s="77"/>
      <c r="U115" s="78">
        <f t="shared" si="61"/>
        <v>0</v>
      </c>
      <c r="V115" s="77">
        <v>0</v>
      </c>
      <c r="W115" s="77">
        <v>0</v>
      </c>
    </row>
    <row r="116" spans="1:23" ht="13.9" customHeight="1" x14ac:dyDescent="0.25">
      <c r="A116" s="9"/>
      <c r="B116" s="24">
        <v>322001</v>
      </c>
      <c r="C116" s="24" t="s">
        <v>103</v>
      </c>
      <c r="D116" s="77">
        <v>0</v>
      </c>
      <c r="E116" s="77">
        <v>0</v>
      </c>
      <c r="F116" s="77">
        <v>0</v>
      </c>
      <c r="G116" s="77">
        <v>0</v>
      </c>
      <c r="H116" s="77">
        <v>2267005</v>
      </c>
      <c r="I116" s="77"/>
      <c r="J116" s="77"/>
      <c r="K116" s="77"/>
      <c r="L116" s="77"/>
      <c r="M116" s="77">
        <f t="shared" si="57"/>
        <v>2267005</v>
      </c>
      <c r="N116" s="77">
        <v>0</v>
      </c>
      <c r="O116" s="78">
        <f t="shared" si="58"/>
        <v>0</v>
      </c>
      <c r="P116" s="77"/>
      <c r="Q116" s="78">
        <f t="shared" si="59"/>
        <v>0</v>
      </c>
      <c r="R116" s="77"/>
      <c r="S116" s="78">
        <f t="shared" si="60"/>
        <v>0</v>
      </c>
      <c r="T116" s="77"/>
      <c r="U116" s="78">
        <f t="shared" si="61"/>
        <v>0</v>
      </c>
      <c r="V116" s="77">
        <v>0</v>
      </c>
      <c r="W116" s="77">
        <v>0</v>
      </c>
    </row>
    <row r="117" spans="1:23" ht="13.9" customHeight="1" x14ac:dyDescent="0.25">
      <c r="A117" s="79" t="s">
        <v>104</v>
      </c>
      <c r="B117" s="47">
        <v>111</v>
      </c>
      <c r="C117" s="47" t="s">
        <v>22</v>
      </c>
      <c r="D117" s="48">
        <f t="shared" ref="D117:N117" si="64">SUM(D82:D116)</f>
        <v>1489256.4100000004</v>
      </c>
      <c r="E117" s="48">
        <f t="shared" si="64"/>
        <v>1295945.32</v>
      </c>
      <c r="F117" s="48">
        <f t="shared" si="64"/>
        <v>2079025</v>
      </c>
      <c r="G117" s="48">
        <f t="shared" si="64"/>
        <v>1758680</v>
      </c>
      <c r="H117" s="48">
        <f t="shared" si="64"/>
        <v>4297358</v>
      </c>
      <c r="I117" s="48">
        <f t="shared" si="64"/>
        <v>167441</v>
      </c>
      <c r="J117" s="48">
        <f t="shared" si="64"/>
        <v>0</v>
      </c>
      <c r="K117" s="48">
        <f t="shared" si="64"/>
        <v>0</v>
      </c>
      <c r="L117" s="48">
        <f t="shared" si="64"/>
        <v>0</v>
      </c>
      <c r="M117" s="48">
        <f t="shared" si="64"/>
        <v>4464799</v>
      </c>
      <c r="N117" s="48">
        <f t="shared" si="64"/>
        <v>428433.50999999995</v>
      </c>
      <c r="O117" s="49">
        <f t="shared" si="58"/>
        <v>9.595807336455682E-2</v>
      </c>
      <c r="P117" s="48">
        <f>SUM(P82:P116)</f>
        <v>0</v>
      </c>
      <c r="Q117" s="49">
        <f t="shared" si="59"/>
        <v>0</v>
      </c>
      <c r="R117" s="48">
        <f>SUM(R82:R116)</f>
        <v>0</v>
      </c>
      <c r="S117" s="49">
        <f t="shared" si="60"/>
        <v>0</v>
      </c>
      <c r="T117" s="48">
        <f>SUM(T82:T116)</f>
        <v>0</v>
      </c>
      <c r="U117" s="49">
        <f t="shared" si="61"/>
        <v>0</v>
      </c>
      <c r="V117" s="48">
        <f>SUM(V82:V116)</f>
        <v>1531565</v>
      </c>
      <c r="W117" s="48">
        <f>SUM(W82:W116)</f>
        <v>1545326</v>
      </c>
    </row>
    <row r="118" spans="1:23" ht="13.9" customHeight="1" x14ac:dyDescent="0.25">
      <c r="A118" s="10" t="s">
        <v>68</v>
      </c>
      <c r="B118" s="24">
        <v>311</v>
      </c>
      <c r="C118" s="24" t="s">
        <v>105</v>
      </c>
      <c r="D118" s="75">
        <v>3000</v>
      </c>
      <c r="E118" s="75">
        <v>3000</v>
      </c>
      <c r="F118" s="75">
        <v>3000</v>
      </c>
      <c r="G118" s="75">
        <v>3000</v>
      </c>
      <c r="H118" s="75">
        <v>3000</v>
      </c>
      <c r="I118" s="75"/>
      <c r="J118" s="75"/>
      <c r="K118" s="75"/>
      <c r="L118" s="75"/>
      <c r="M118" s="75">
        <f>H118+SUM(I118:L118)</f>
        <v>3000</v>
      </c>
      <c r="N118" s="75">
        <v>0</v>
      </c>
      <c r="O118" s="76">
        <f t="shared" si="58"/>
        <v>0</v>
      </c>
      <c r="P118" s="75"/>
      <c r="Q118" s="76">
        <f t="shared" si="59"/>
        <v>0</v>
      </c>
      <c r="R118" s="75"/>
      <c r="S118" s="76">
        <f t="shared" si="60"/>
        <v>0</v>
      </c>
      <c r="T118" s="75"/>
      <c r="U118" s="76">
        <f t="shared" si="61"/>
        <v>0</v>
      </c>
      <c r="V118" s="77">
        <f>H118</f>
        <v>3000</v>
      </c>
      <c r="W118" s="77">
        <f>V118</f>
        <v>3000</v>
      </c>
    </row>
    <row r="119" spans="1:23" ht="13.9" hidden="1" customHeight="1" x14ac:dyDescent="0.25">
      <c r="A119" s="10"/>
      <c r="B119" s="24">
        <v>321</v>
      </c>
      <c r="C119" s="24" t="s">
        <v>105</v>
      </c>
      <c r="D119" s="75">
        <v>0</v>
      </c>
      <c r="E119" s="75">
        <v>0</v>
      </c>
      <c r="F119" s="75">
        <v>6000</v>
      </c>
      <c r="G119" s="75">
        <v>6000</v>
      </c>
      <c r="H119" s="75">
        <v>0</v>
      </c>
      <c r="I119" s="75"/>
      <c r="J119" s="75"/>
      <c r="K119" s="75"/>
      <c r="L119" s="75"/>
      <c r="M119" s="75">
        <f>H119+SUM(I119:L119)</f>
        <v>0</v>
      </c>
      <c r="N119" s="75">
        <v>0</v>
      </c>
      <c r="O119" s="76">
        <f t="shared" si="58"/>
        <v>0</v>
      </c>
      <c r="P119" s="75"/>
      <c r="Q119" s="76">
        <f t="shared" si="59"/>
        <v>0</v>
      </c>
      <c r="R119" s="75"/>
      <c r="S119" s="76">
        <f t="shared" si="60"/>
        <v>0</v>
      </c>
      <c r="T119" s="75"/>
      <c r="U119" s="76">
        <f t="shared" si="61"/>
        <v>0</v>
      </c>
      <c r="V119" s="77">
        <f>H119</f>
        <v>0</v>
      </c>
      <c r="W119" s="77">
        <f>V119</f>
        <v>0</v>
      </c>
    </row>
    <row r="120" spans="1:23" ht="13.9" customHeight="1" x14ac:dyDescent="0.25">
      <c r="A120" s="79" t="s">
        <v>104</v>
      </c>
      <c r="B120" s="47">
        <v>71</v>
      </c>
      <c r="C120" s="47" t="s">
        <v>24</v>
      </c>
      <c r="D120" s="48">
        <f t="shared" ref="D120:N120" si="65">SUM(D118:D119)</f>
        <v>3000</v>
      </c>
      <c r="E120" s="48">
        <f t="shared" si="65"/>
        <v>3000</v>
      </c>
      <c r="F120" s="48">
        <f t="shared" si="65"/>
        <v>9000</v>
      </c>
      <c r="G120" s="48">
        <f t="shared" si="65"/>
        <v>9000</v>
      </c>
      <c r="H120" s="48">
        <f t="shared" si="65"/>
        <v>3000</v>
      </c>
      <c r="I120" s="48">
        <f t="shared" si="65"/>
        <v>0</v>
      </c>
      <c r="J120" s="48">
        <f t="shared" si="65"/>
        <v>0</v>
      </c>
      <c r="K120" s="48">
        <f t="shared" si="65"/>
        <v>0</v>
      </c>
      <c r="L120" s="48">
        <f t="shared" si="65"/>
        <v>0</v>
      </c>
      <c r="M120" s="48">
        <f t="shared" si="65"/>
        <v>3000</v>
      </c>
      <c r="N120" s="48">
        <f t="shared" si="65"/>
        <v>0</v>
      </c>
      <c r="O120" s="49">
        <f t="shared" si="58"/>
        <v>0</v>
      </c>
      <c r="P120" s="48">
        <f>SUM(P118:P119)</f>
        <v>0</v>
      </c>
      <c r="Q120" s="49">
        <f t="shared" si="59"/>
        <v>0</v>
      </c>
      <c r="R120" s="48">
        <f>SUM(R118:R119)</f>
        <v>0</v>
      </c>
      <c r="S120" s="49">
        <f t="shared" si="60"/>
        <v>0</v>
      </c>
      <c r="T120" s="48">
        <f>SUM(T118:T119)</f>
        <v>0</v>
      </c>
      <c r="U120" s="49">
        <f t="shared" si="61"/>
        <v>0</v>
      </c>
      <c r="V120" s="48">
        <f>SUM(V118:V119)</f>
        <v>3000</v>
      </c>
      <c r="W120" s="48">
        <f>SUM(W118:W119)</f>
        <v>3000</v>
      </c>
    </row>
    <row r="121" spans="1:23" ht="13.9" customHeight="1" x14ac:dyDescent="0.25">
      <c r="A121" s="50" t="s">
        <v>68</v>
      </c>
      <c r="B121" s="24">
        <v>311</v>
      </c>
      <c r="C121" s="24" t="s">
        <v>106</v>
      </c>
      <c r="D121" s="75">
        <v>5986.24</v>
      </c>
      <c r="E121" s="75">
        <v>1982.35</v>
      </c>
      <c r="F121" s="75">
        <v>2000</v>
      </c>
      <c r="G121" s="75">
        <v>1563</v>
      </c>
      <c r="H121" s="75">
        <v>2000</v>
      </c>
      <c r="I121" s="75"/>
      <c r="J121" s="75"/>
      <c r="K121" s="75"/>
      <c r="L121" s="75"/>
      <c r="M121" s="75">
        <f>H121+SUM(I121:L121)</f>
        <v>2000</v>
      </c>
      <c r="N121" s="75">
        <v>0</v>
      </c>
      <c r="O121" s="76">
        <f t="shared" si="58"/>
        <v>0</v>
      </c>
      <c r="P121" s="75"/>
      <c r="Q121" s="76">
        <f t="shared" si="59"/>
        <v>0</v>
      </c>
      <c r="R121" s="75"/>
      <c r="S121" s="76">
        <f t="shared" si="60"/>
        <v>0</v>
      </c>
      <c r="T121" s="75"/>
      <c r="U121" s="76">
        <f t="shared" si="61"/>
        <v>0</v>
      </c>
      <c r="V121" s="77">
        <f>H121</f>
        <v>2000</v>
      </c>
      <c r="W121" s="77">
        <f>V121</f>
        <v>2000</v>
      </c>
    </row>
    <row r="122" spans="1:23" ht="13.9" customHeight="1" x14ac:dyDescent="0.25">
      <c r="A122" s="79" t="s">
        <v>104</v>
      </c>
      <c r="B122" s="47">
        <v>72</v>
      </c>
      <c r="C122" s="47" t="s">
        <v>25</v>
      </c>
      <c r="D122" s="48">
        <f t="shared" ref="D122:N122" si="66">SUM(D121)</f>
        <v>5986.24</v>
      </c>
      <c r="E122" s="48">
        <f t="shared" si="66"/>
        <v>1982.35</v>
      </c>
      <c r="F122" s="48">
        <f t="shared" si="66"/>
        <v>2000</v>
      </c>
      <c r="G122" s="48">
        <f t="shared" si="66"/>
        <v>1563</v>
      </c>
      <c r="H122" s="48">
        <f t="shared" si="66"/>
        <v>2000</v>
      </c>
      <c r="I122" s="48">
        <f t="shared" si="66"/>
        <v>0</v>
      </c>
      <c r="J122" s="48">
        <f t="shared" si="66"/>
        <v>0</v>
      </c>
      <c r="K122" s="48">
        <f t="shared" si="66"/>
        <v>0</v>
      </c>
      <c r="L122" s="48">
        <f t="shared" si="66"/>
        <v>0</v>
      </c>
      <c r="M122" s="48">
        <f t="shared" si="66"/>
        <v>2000</v>
      </c>
      <c r="N122" s="48">
        <f t="shared" si="66"/>
        <v>0</v>
      </c>
      <c r="O122" s="49">
        <f t="shared" si="58"/>
        <v>0</v>
      </c>
      <c r="P122" s="48">
        <f>SUM(P121)</f>
        <v>0</v>
      </c>
      <c r="Q122" s="49">
        <f t="shared" si="59"/>
        <v>0</v>
      </c>
      <c r="R122" s="48">
        <f>SUM(R121)</f>
        <v>0</v>
      </c>
      <c r="S122" s="49">
        <f t="shared" si="60"/>
        <v>0</v>
      </c>
      <c r="T122" s="48">
        <f>SUM(T121)</f>
        <v>0</v>
      </c>
      <c r="U122" s="49">
        <f t="shared" si="61"/>
        <v>0</v>
      </c>
      <c r="V122" s="48">
        <f>SUM(V121)</f>
        <v>2000</v>
      </c>
      <c r="W122" s="48">
        <f>SUM(W121)</f>
        <v>2000</v>
      </c>
    </row>
    <row r="124" spans="1:23" ht="13.9" customHeight="1" x14ac:dyDescent="0.25">
      <c r="A124" s="32" t="s">
        <v>107</v>
      </c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/>
      <c r="P124" s="32"/>
      <c r="Q124" s="32"/>
      <c r="R124" s="32"/>
      <c r="S124" s="32"/>
      <c r="T124" s="32"/>
      <c r="U124" s="32"/>
      <c r="V124" s="32"/>
      <c r="W124" s="32"/>
    </row>
    <row r="125" spans="1:23" ht="13.9" customHeight="1" x14ac:dyDescent="0.25">
      <c r="A125" s="20"/>
      <c r="B125" s="20"/>
      <c r="C125" s="20"/>
      <c r="D125" s="21" t="s">
        <v>1</v>
      </c>
      <c r="E125" s="21" t="s">
        <v>2</v>
      </c>
      <c r="F125" s="21" t="s">
        <v>3</v>
      </c>
      <c r="G125" s="21" t="s">
        <v>4</v>
      </c>
      <c r="H125" s="21" t="s">
        <v>5</v>
      </c>
      <c r="I125" s="21" t="s">
        <v>6</v>
      </c>
      <c r="J125" s="21" t="s">
        <v>7</v>
      </c>
      <c r="K125" s="21" t="s">
        <v>8</v>
      </c>
      <c r="L125" s="21" t="s">
        <v>9</v>
      </c>
      <c r="M125" s="21" t="s">
        <v>10</v>
      </c>
      <c r="N125" s="21" t="s">
        <v>11</v>
      </c>
      <c r="O125" s="22" t="s">
        <v>12</v>
      </c>
      <c r="P125" s="21" t="s">
        <v>13</v>
      </c>
      <c r="Q125" s="22" t="s">
        <v>14</v>
      </c>
      <c r="R125" s="21" t="s">
        <v>15</v>
      </c>
      <c r="S125" s="22" t="s">
        <v>16</v>
      </c>
      <c r="T125" s="21" t="s">
        <v>17</v>
      </c>
      <c r="U125" s="22" t="s">
        <v>18</v>
      </c>
      <c r="V125" s="21" t="s">
        <v>19</v>
      </c>
      <c r="W125" s="21" t="s">
        <v>20</v>
      </c>
    </row>
    <row r="126" spans="1:23" ht="13.9" customHeight="1" x14ac:dyDescent="0.25">
      <c r="A126" s="12" t="s">
        <v>21</v>
      </c>
      <c r="B126" s="35">
        <v>131</v>
      </c>
      <c r="C126" s="35" t="s">
        <v>45</v>
      </c>
      <c r="D126" s="36">
        <f t="shared" ref="D126:N126" si="67">D132</f>
        <v>32325.77</v>
      </c>
      <c r="E126" s="36">
        <f t="shared" si="67"/>
        <v>326950.78999999998</v>
      </c>
      <c r="F126" s="36">
        <f t="shared" si="67"/>
        <v>177532</v>
      </c>
      <c r="G126" s="36">
        <f t="shared" si="67"/>
        <v>219632</v>
      </c>
      <c r="H126" s="36">
        <f t="shared" si="67"/>
        <v>0</v>
      </c>
      <c r="I126" s="36">
        <f t="shared" si="67"/>
        <v>93285</v>
      </c>
      <c r="J126" s="36">
        <f t="shared" si="67"/>
        <v>0</v>
      </c>
      <c r="K126" s="36">
        <f t="shared" si="67"/>
        <v>0</v>
      </c>
      <c r="L126" s="36">
        <f t="shared" si="67"/>
        <v>0</v>
      </c>
      <c r="M126" s="36">
        <f t="shared" si="67"/>
        <v>93285</v>
      </c>
      <c r="N126" s="36">
        <f t="shared" si="67"/>
        <v>93283.9</v>
      </c>
      <c r="O126" s="37">
        <f>IFERROR(N126/$M126,0)</f>
        <v>0.99998820817923562</v>
      </c>
      <c r="P126" s="36">
        <f>P132</f>
        <v>0</v>
      </c>
      <c r="Q126" s="37">
        <f>IFERROR(P126/$M126,0)</f>
        <v>0</v>
      </c>
      <c r="R126" s="36">
        <f>R132</f>
        <v>0</v>
      </c>
      <c r="S126" s="37">
        <f>IFERROR(R126/$M126,0)</f>
        <v>0</v>
      </c>
      <c r="T126" s="36">
        <f>T132</f>
        <v>0</v>
      </c>
      <c r="U126" s="37">
        <f>IFERROR(T126/$M126,0)</f>
        <v>0</v>
      </c>
      <c r="V126" s="36">
        <f>V132</f>
        <v>0</v>
      </c>
      <c r="W126" s="36">
        <f>W132</f>
        <v>0</v>
      </c>
    </row>
    <row r="127" spans="1:23" ht="13.9" customHeight="1" x14ac:dyDescent="0.25">
      <c r="A127" s="12"/>
      <c r="B127" s="35">
        <v>41</v>
      </c>
      <c r="C127" s="35" t="s">
        <v>23</v>
      </c>
      <c r="D127" s="36">
        <f t="shared" ref="D127:N127" si="68">D134+D136</f>
        <v>112421.69</v>
      </c>
      <c r="E127" s="36">
        <f t="shared" si="68"/>
        <v>74201.16</v>
      </c>
      <c r="F127" s="36">
        <f t="shared" si="68"/>
        <v>150000</v>
      </c>
      <c r="G127" s="36">
        <f t="shared" si="68"/>
        <v>396184</v>
      </c>
      <c r="H127" s="36">
        <f t="shared" si="68"/>
        <v>311436</v>
      </c>
      <c r="I127" s="36">
        <f t="shared" si="68"/>
        <v>0</v>
      </c>
      <c r="J127" s="36">
        <f t="shared" si="68"/>
        <v>0</v>
      </c>
      <c r="K127" s="36">
        <f t="shared" si="68"/>
        <v>0</v>
      </c>
      <c r="L127" s="36">
        <f t="shared" si="68"/>
        <v>0</v>
      </c>
      <c r="M127" s="36">
        <f t="shared" si="68"/>
        <v>311436</v>
      </c>
      <c r="N127" s="36">
        <f t="shared" si="68"/>
        <v>194743.63</v>
      </c>
      <c r="O127" s="37">
        <f>IFERROR(N127/$M127,0)</f>
        <v>0.62530866694922871</v>
      </c>
      <c r="P127" s="36">
        <f>P134+P136</f>
        <v>0</v>
      </c>
      <c r="Q127" s="37">
        <f>IFERROR(P127/$M127,0)</f>
        <v>0</v>
      </c>
      <c r="R127" s="36">
        <f>R134+R136</f>
        <v>0</v>
      </c>
      <c r="S127" s="37">
        <f>IFERROR(R127/$M127,0)</f>
        <v>0</v>
      </c>
      <c r="T127" s="36">
        <f>T134+T136</f>
        <v>0</v>
      </c>
      <c r="U127" s="37">
        <f>IFERROR(T127/$M127,0)</f>
        <v>0</v>
      </c>
      <c r="V127" s="36">
        <f>V133+V136</f>
        <v>0</v>
      </c>
      <c r="W127" s="36">
        <f>W133+W136</f>
        <v>0</v>
      </c>
    </row>
    <row r="128" spans="1:23" ht="13.9" customHeight="1" x14ac:dyDescent="0.25">
      <c r="A128" s="12"/>
      <c r="B128" s="35">
        <v>71</v>
      </c>
      <c r="C128" s="35" t="s">
        <v>24</v>
      </c>
      <c r="D128" s="36">
        <f>D137</f>
        <v>30067.64</v>
      </c>
      <c r="E128" s="36">
        <f>E137</f>
        <v>49900</v>
      </c>
      <c r="F128" s="36">
        <f>F137+F133</f>
        <v>6000</v>
      </c>
      <c r="G128" s="36">
        <f>G137</f>
        <v>22418</v>
      </c>
      <c r="H128" s="36">
        <f t="shared" ref="H128:N128" si="69">H137+H133</f>
        <v>1750</v>
      </c>
      <c r="I128" s="36">
        <f t="shared" si="69"/>
        <v>10510</v>
      </c>
      <c r="J128" s="36">
        <f t="shared" si="69"/>
        <v>0</v>
      </c>
      <c r="K128" s="36">
        <f t="shared" si="69"/>
        <v>0</v>
      </c>
      <c r="L128" s="36">
        <f t="shared" si="69"/>
        <v>0</v>
      </c>
      <c r="M128" s="36">
        <f t="shared" si="69"/>
        <v>12260</v>
      </c>
      <c r="N128" s="36">
        <f t="shared" si="69"/>
        <v>10510</v>
      </c>
      <c r="O128" s="37">
        <f>IFERROR(N128/$M128,0)</f>
        <v>0.85725938009787928</v>
      </c>
      <c r="P128" s="36">
        <f>P137+P133</f>
        <v>0</v>
      </c>
      <c r="Q128" s="37">
        <f>IFERROR(P128/$M128,0)</f>
        <v>0</v>
      </c>
      <c r="R128" s="36">
        <f>R137+R133</f>
        <v>0</v>
      </c>
      <c r="S128" s="37">
        <f>IFERROR(R128/$M128,0)</f>
        <v>0</v>
      </c>
      <c r="T128" s="36">
        <f>T137+T133</f>
        <v>0</v>
      </c>
      <c r="U128" s="37">
        <f>IFERROR(T128/$M128,0)</f>
        <v>0</v>
      </c>
      <c r="V128" s="36">
        <f>V137+V133</f>
        <v>0</v>
      </c>
      <c r="W128" s="36">
        <f>W137+W133</f>
        <v>0</v>
      </c>
    </row>
    <row r="129" spans="1:23" ht="13.9" customHeight="1" x14ac:dyDescent="0.25">
      <c r="A129" s="12"/>
      <c r="B129" s="35">
        <v>72</v>
      </c>
      <c r="C129" s="35" t="s">
        <v>25</v>
      </c>
      <c r="D129" s="36">
        <f>D133+D135</f>
        <v>0</v>
      </c>
      <c r="E129" s="36">
        <f>E133+E135</f>
        <v>0</v>
      </c>
      <c r="F129" s="36">
        <f>F135</f>
        <v>0</v>
      </c>
      <c r="G129" s="36">
        <f>G133+G135</f>
        <v>16850</v>
      </c>
      <c r="H129" s="36">
        <f t="shared" ref="H129:N129" si="70">H135</f>
        <v>0</v>
      </c>
      <c r="I129" s="36">
        <f t="shared" si="70"/>
        <v>41529</v>
      </c>
      <c r="J129" s="36">
        <f t="shared" si="70"/>
        <v>0</v>
      </c>
      <c r="K129" s="36">
        <f t="shared" si="70"/>
        <v>0</v>
      </c>
      <c r="L129" s="36">
        <f t="shared" si="70"/>
        <v>0</v>
      </c>
      <c r="M129" s="36">
        <f t="shared" si="70"/>
        <v>41529</v>
      </c>
      <c r="N129" s="36">
        <f t="shared" si="70"/>
        <v>23747.599999999999</v>
      </c>
      <c r="O129" s="37">
        <f>IFERROR(N129/$M129,0)</f>
        <v>0.57183173204266891</v>
      </c>
      <c r="P129" s="36">
        <f>P135</f>
        <v>0</v>
      </c>
      <c r="Q129" s="37">
        <f>IFERROR(P129/$M129,0)</f>
        <v>0</v>
      </c>
      <c r="R129" s="36">
        <f>R135</f>
        <v>0</v>
      </c>
      <c r="S129" s="37">
        <f>IFERROR(R129/$M129,0)</f>
        <v>0</v>
      </c>
      <c r="T129" s="36">
        <f>T135</f>
        <v>0</v>
      </c>
      <c r="U129" s="37">
        <f>IFERROR(T129/$M129,0)</f>
        <v>0</v>
      </c>
      <c r="V129" s="36">
        <f>V133+V135</f>
        <v>0</v>
      </c>
      <c r="W129" s="36">
        <f>W133+W135</f>
        <v>0</v>
      </c>
    </row>
    <row r="130" spans="1:23" ht="13.9" customHeight="1" x14ac:dyDescent="0.25">
      <c r="A130" s="30"/>
      <c r="B130" s="31"/>
      <c r="C130" s="38" t="s">
        <v>29</v>
      </c>
      <c r="D130" s="39">
        <f t="shared" ref="D130:N130" si="71">SUM(D126:D129)</f>
        <v>174815.09999999998</v>
      </c>
      <c r="E130" s="39">
        <f t="shared" si="71"/>
        <v>451051.94999999995</v>
      </c>
      <c r="F130" s="39">
        <f t="shared" si="71"/>
        <v>333532</v>
      </c>
      <c r="G130" s="39">
        <f t="shared" si="71"/>
        <v>655084</v>
      </c>
      <c r="H130" s="39">
        <f t="shared" si="71"/>
        <v>313186</v>
      </c>
      <c r="I130" s="39">
        <f t="shared" si="71"/>
        <v>145324</v>
      </c>
      <c r="J130" s="39">
        <f t="shared" si="71"/>
        <v>0</v>
      </c>
      <c r="K130" s="39">
        <f t="shared" si="71"/>
        <v>0</v>
      </c>
      <c r="L130" s="39">
        <f t="shared" si="71"/>
        <v>0</v>
      </c>
      <c r="M130" s="39">
        <f t="shared" si="71"/>
        <v>458510</v>
      </c>
      <c r="N130" s="39">
        <f t="shared" si="71"/>
        <v>322285.13</v>
      </c>
      <c r="O130" s="40">
        <f>IFERROR(N130/$M130,0)</f>
        <v>0.70289662166583067</v>
      </c>
      <c r="P130" s="39">
        <f>SUM(P126:P129)</f>
        <v>0</v>
      </c>
      <c r="Q130" s="40">
        <f>IFERROR(P130/$M130,0)</f>
        <v>0</v>
      </c>
      <c r="R130" s="39">
        <f>SUM(R126:R129)</f>
        <v>0</v>
      </c>
      <c r="S130" s="40">
        <f>IFERROR(R130/$M130,0)</f>
        <v>0</v>
      </c>
      <c r="T130" s="39">
        <f>SUM(T126:T129)</f>
        <v>0</v>
      </c>
      <c r="U130" s="40">
        <f>IFERROR(T130/$M130,0)</f>
        <v>0</v>
      </c>
      <c r="V130" s="39">
        <f>SUM(V126:V129)</f>
        <v>0</v>
      </c>
      <c r="W130" s="39">
        <f>SUM(W126:W129)</f>
        <v>0</v>
      </c>
    </row>
    <row r="132" spans="1:23" ht="13.9" customHeight="1" x14ac:dyDescent="0.25">
      <c r="B132" s="51" t="s">
        <v>55</v>
      </c>
      <c r="C132" s="30" t="s">
        <v>108</v>
      </c>
      <c r="D132" s="52">
        <v>32325.77</v>
      </c>
      <c r="E132" s="52">
        <v>326950.78999999998</v>
      </c>
      <c r="F132" s="52">
        <v>177532</v>
      </c>
      <c r="G132" s="52">
        <f>204782+14850</f>
        <v>219632</v>
      </c>
      <c r="H132" s="52"/>
      <c r="I132" s="52">
        <v>93285</v>
      </c>
      <c r="J132" s="52"/>
      <c r="K132" s="52"/>
      <c r="L132" s="52"/>
      <c r="M132" s="52">
        <f t="shared" ref="M132:M137" si="72">H132+SUM(I132:L132)</f>
        <v>93285</v>
      </c>
      <c r="N132" s="52">
        <v>93283.9</v>
      </c>
      <c r="O132" s="53">
        <f t="shared" ref="O132:O137" si="73">IFERROR(N132/$M132,0)</f>
        <v>0.99998820817923562</v>
      </c>
      <c r="P132" s="52"/>
      <c r="Q132" s="53">
        <f t="shared" ref="Q132:Q137" si="74">IFERROR(P132/$M132,0)</f>
        <v>0</v>
      </c>
      <c r="R132" s="52"/>
      <c r="S132" s="53">
        <f t="shared" ref="S132:S137" si="75">IFERROR(R132/$M132,0)</f>
        <v>0</v>
      </c>
      <c r="T132" s="52"/>
      <c r="U132" s="54">
        <f t="shared" ref="U132:U137" si="76">IFERROR(T132/$M132,0)</f>
        <v>0</v>
      </c>
      <c r="V132" s="52"/>
      <c r="W132" s="55"/>
    </row>
    <row r="133" spans="1:23" ht="13.9" customHeight="1" x14ac:dyDescent="0.25">
      <c r="B133" s="56"/>
      <c r="C133" s="15" t="s">
        <v>109</v>
      </c>
      <c r="D133" s="58">
        <v>0</v>
      </c>
      <c r="E133" s="58">
        <v>0</v>
      </c>
      <c r="F133" s="58">
        <v>4000</v>
      </c>
      <c r="G133" s="58">
        <v>4000</v>
      </c>
      <c r="H133" s="58"/>
      <c r="I133" s="58">
        <v>10510</v>
      </c>
      <c r="J133" s="58"/>
      <c r="K133" s="58"/>
      <c r="L133" s="58"/>
      <c r="M133" s="58">
        <f t="shared" si="72"/>
        <v>10510</v>
      </c>
      <c r="N133" s="58">
        <v>10510</v>
      </c>
      <c r="O133" s="16">
        <f t="shared" si="73"/>
        <v>1</v>
      </c>
      <c r="P133" s="58"/>
      <c r="Q133" s="16">
        <f t="shared" si="74"/>
        <v>0</v>
      </c>
      <c r="R133" s="58"/>
      <c r="S133" s="16">
        <f t="shared" si="75"/>
        <v>0</v>
      </c>
      <c r="T133" s="58"/>
      <c r="U133" s="59">
        <f t="shared" si="76"/>
        <v>0</v>
      </c>
      <c r="V133" s="58"/>
      <c r="W133" s="60"/>
    </row>
    <row r="134" spans="1:23" ht="13.9" customHeight="1" x14ac:dyDescent="0.25">
      <c r="B134" s="56"/>
      <c r="C134" s="15" t="s">
        <v>110</v>
      </c>
      <c r="D134" s="58">
        <v>112421.69</v>
      </c>
      <c r="E134" s="58">
        <v>74201.16</v>
      </c>
      <c r="F134" s="58">
        <v>0</v>
      </c>
      <c r="G134" s="58">
        <v>246184</v>
      </c>
      <c r="H134" s="58"/>
      <c r="I134" s="58"/>
      <c r="J134" s="58"/>
      <c r="K134" s="58"/>
      <c r="L134" s="58"/>
      <c r="M134" s="58">
        <f t="shared" si="72"/>
        <v>0</v>
      </c>
      <c r="N134" s="58">
        <v>33307.71</v>
      </c>
      <c r="O134" s="16">
        <f t="shared" si="73"/>
        <v>0</v>
      </c>
      <c r="P134" s="58"/>
      <c r="Q134" s="16">
        <f t="shared" si="74"/>
        <v>0</v>
      </c>
      <c r="R134" s="58"/>
      <c r="S134" s="16">
        <f t="shared" si="75"/>
        <v>0</v>
      </c>
      <c r="T134" s="58"/>
      <c r="U134" s="59">
        <f t="shared" si="76"/>
        <v>0</v>
      </c>
      <c r="V134" s="58"/>
      <c r="W134" s="60"/>
    </row>
    <row r="135" spans="1:23" ht="13.9" customHeight="1" x14ac:dyDescent="0.25">
      <c r="B135" s="56"/>
      <c r="C135" s="15" t="s">
        <v>111</v>
      </c>
      <c r="D135" s="58">
        <v>0</v>
      </c>
      <c r="E135" s="58">
        <v>0</v>
      </c>
      <c r="F135" s="58">
        <v>0</v>
      </c>
      <c r="G135" s="58">
        <v>12850</v>
      </c>
      <c r="H135" s="58"/>
      <c r="I135" s="58">
        <f>23749+17780</f>
        <v>41529</v>
      </c>
      <c r="J135" s="58"/>
      <c r="K135" s="58"/>
      <c r="L135" s="58"/>
      <c r="M135" s="58">
        <f t="shared" si="72"/>
        <v>41529</v>
      </c>
      <c r="N135" s="58">
        <v>23747.599999999999</v>
      </c>
      <c r="O135" s="16">
        <f t="shared" si="73"/>
        <v>0.57183173204266891</v>
      </c>
      <c r="P135" s="58"/>
      <c r="Q135" s="16">
        <f t="shared" si="74"/>
        <v>0</v>
      </c>
      <c r="R135" s="58"/>
      <c r="S135" s="16">
        <f t="shared" si="75"/>
        <v>0</v>
      </c>
      <c r="T135" s="58"/>
      <c r="U135" s="59">
        <f t="shared" si="76"/>
        <v>0</v>
      </c>
      <c r="V135" s="58"/>
      <c r="W135" s="60"/>
    </row>
    <row r="136" spans="1:23" ht="13.9" customHeight="1" x14ac:dyDescent="0.25">
      <c r="B136" s="56"/>
      <c r="C136" s="57" t="s">
        <v>112</v>
      </c>
      <c r="D136" s="58">
        <v>0</v>
      </c>
      <c r="E136" s="58">
        <v>0</v>
      </c>
      <c r="F136" s="58">
        <v>150000</v>
      </c>
      <c r="G136" s="58">
        <v>150000</v>
      </c>
      <c r="H136" s="58">
        <f>ROUND(G143,0)</f>
        <v>311436</v>
      </c>
      <c r="I136" s="58"/>
      <c r="J136" s="58"/>
      <c r="K136" s="58"/>
      <c r="L136" s="58"/>
      <c r="M136" s="58">
        <f t="shared" si="72"/>
        <v>311436</v>
      </c>
      <c r="N136" s="58">
        <v>161435.92000000001</v>
      </c>
      <c r="O136" s="16">
        <f t="shared" si="73"/>
        <v>0.51835985563647113</v>
      </c>
      <c r="P136" s="58"/>
      <c r="Q136" s="16">
        <f t="shared" si="74"/>
        <v>0</v>
      </c>
      <c r="R136" s="58"/>
      <c r="S136" s="16">
        <f t="shared" si="75"/>
        <v>0</v>
      </c>
      <c r="T136" s="58"/>
      <c r="U136" s="59">
        <f t="shared" si="76"/>
        <v>0</v>
      </c>
      <c r="V136" s="58"/>
      <c r="W136" s="60"/>
    </row>
    <row r="137" spans="1:23" ht="13.9" customHeight="1" x14ac:dyDescent="0.25">
      <c r="B137" s="64"/>
      <c r="C137" s="65" t="s">
        <v>113</v>
      </c>
      <c r="D137" s="66">
        <v>30067.64</v>
      </c>
      <c r="E137" s="66">
        <v>49900</v>
      </c>
      <c r="F137" s="66">
        <v>2000</v>
      </c>
      <c r="G137" s="66">
        <v>22418</v>
      </c>
      <c r="H137" s="66">
        <v>1750</v>
      </c>
      <c r="I137" s="66"/>
      <c r="J137" s="66"/>
      <c r="K137" s="66"/>
      <c r="L137" s="66"/>
      <c r="M137" s="66">
        <f t="shared" si="72"/>
        <v>1750</v>
      </c>
      <c r="N137" s="66">
        <v>0</v>
      </c>
      <c r="O137" s="67">
        <f t="shared" si="73"/>
        <v>0</v>
      </c>
      <c r="P137" s="66"/>
      <c r="Q137" s="67">
        <f t="shared" si="74"/>
        <v>0</v>
      </c>
      <c r="R137" s="66"/>
      <c r="S137" s="67">
        <f t="shared" si="75"/>
        <v>0</v>
      </c>
      <c r="T137" s="66"/>
      <c r="U137" s="68">
        <f t="shared" si="76"/>
        <v>0</v>
      </c>
      <c r="V137" s="66"/>
      <c r="W137" s="69"/>
    </row>
    <row r="139" spans="1:23" ht="13.9" customHeight="1" x14ac:dyDescent="0.25">
      <c r="A139" s="32" t="s">
        <v>114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/>
      <c r="P139" s="32"/>
      <c r="Q139" s="32"/>
      <c r="R139" s="32"/>
      <c r="S139" s="32"/>
      <c r="T139" s="32"/>
      <c r="U139" s="32"/>
      <c r="V139" s="32"/>
      <c r="W139" s="32"/>
    </row>
    <row r="140" spans="1:23" ht="13.9" customHeight="1" x14ac:dyDescent="0.25">
      <c r="A140" s="20"/>
      <c r="B140" s="20"/>
      <c r="C140" s="20"/>
      <c r="D140" s="21" t="s">
        <v>1</v>
      </c>
      <c r="E140" s="21" t="s">
        <v>2</v>
      </c>
      <c r="F140" s="21" t="s">
        <v>3</v>
      </c>
      <c r="G140" s="21" t="s">
        <v>4</v>
      </c>
      <c r="H140" s="21" t="s">
        <v>5</v>
      </c>
      <c r="I140" s="21" t="s">
        <v>6</v>
      </c>
      <c r="J140" s="21" t="s">
        <v>7</v>
      </c>
      <c r="K140" s="21" t="s">
        <v>8</v>
      </c>
      <c r="L140" s="21" t="s">
        <v>9</v>
      </c>
      <c r="M140" s="21" t="s">
        <v>10</v>
      </c>
      <c r="N140" s="21" t="s">
        <v>11</v>
      </c>
      <c r="O140" s="22" t="s">
        <v>12</v>
      </c>
      <c r="P140" s="21" t="s">
        <v>13</v>
      </c>
      <c r="Q140" s="22" t="s">
        <v>14</v>
      </c>
      <c r="R140" s="21" t="s">
        <v>15</v>
      </c>
      <c r="S140" s="22" t="s">
        <v>16</v>
      </c>
      <c r="T140" s="21" t="s">
        <v>17</v>
      </c>
      <c r="U140" s="22" t="s">
        <v>18</v>
      </c>
      <c r="V140" s="21" t="s">
        <v>19</v>
      </c>
      <c r="W140" s="21" t="s">
        <v>20</v>
      </c>
    </row>
    <row r="141" spans="1:23" ht="13.9" customHeight="1" x14ac:dyDescent="0.25">
      <c r="D141" s="36">
        <f>D21-výdaje!G18</f>
        <v>573390.06000000099</v>
      </c>
      <c r="E141" s="36">
        <f>E21-výdaje!H18</f>
        <v>481662.88999999966</v>
      </c>
      <c r="F141" s="36">
        <f>F21-výdaje!I18</f>
        <v>0</v>
      </c>
      <c r="G141" s="36">
        <f>G21-výdaje!J18</f>
        <v>534545</v>
      </c>
      <c r="H141" s="36">
        <f>H21-výdaje!K18</f>
        <v>0</v>
      </c>
      <c r="I141" s="36">
        <f>I21-výdaje!L18</f>
        <v>0</v>
      </c>
      <c r="J141" s="36">
        <f>J21-výdaje!M18</f>
        <v>0</v>
      </c>
      <c r="K141" s="36">
        <f>K21-výdaje!N18</f>
        <v>0</v>
      </c>
      <c r="L141" s="36">
        <f>L21-výdaje!O18</f>
        <v>0</v>
      </c>
      <c r="M141" s="36">
        <f>M21-výdaje!P18</f>
        <v>0</v>
      </c>
      <c r="N141" s="36">
        <f>N21-výdaje!Q18</f>
        <v>651854.30999999982</v>
      </c>
      <c r="O141" s="37" t="e">
        <f>N141/$M141</f>
        <v>#DIV/0!</v>
      </c>
      <c r="P141" s="36">
        <f>P21-výdaje!S18</f>
        <v>0</v>
      </c>
      <c r="Q141" s="37" t="e">
        <f>P141/$M141</f>
        <v>#DIV/0!</v>
      </c>
      <c r="R141" s="36">
        <f>R21-výdaje!U18</f>
        <v>0</v>
      </c>
      <c r="S141" s="37" t="e">
        <f>R141/$M141</f>
        <v>#DIV/0!</v>
      </c>
      <c r="T141" s="36">
        <f>T21-výdaje!W18</f>
        <v>0</v>
      </c>
      <c r="U141" s="37" t="e">
        <f>T141/$M141</f>
        <v>#DIV/0!</v>
      </c>
      <c r="V141" s="36">
        <f>V21-výdaje!Y18</f>
        <v>0</v>
      </c>
      <c r="W141" s="36">
        <f>W21-výdaje!Z18</f>
        <v>0</v>
      </c>
    </row>
    <row r="143" spans="1:23" ht="13.9" customHeight="1" x14ac:dyDescent="0.25">
      <c r="B143" s="80" t="s">
        <v>115</v>
      </c>
      <c r="C143" s="81"/>
      <c r="D143" s="82">
        <f>180448.92+45857.86</f>
        <v>226306.78000000003</v>
      </c>
      <c r="E143" s="82">
        <f>D143+235129.14</f>
        <v>461435.92000000004</v>
      </c>
      <c r="F143" s="82">
        <f>E143-F136</f>
        <v>311435.92000000004</v>
      </c>
      <c r="G143" s="82">
        <f>F143</f>
        <v>311435.92000000004</v>
      </c>
      <c r="H143" s="82">
        <v>0</v>
      </c>
      <c r="I143" s="82"/>
      <c r="J143" s="82"/>
      <c r="K143" s="82"/>
      <c r="L143" s="82"/>
      <c r="M143" s="82">
        <f>H143+SUM(I143:L143)</f>
        <v>0</v>
      </c>
      <c r="N143" s="82">
        <v>0</v>
      </c>
      <c r="O143" s="82"/>
      <c r="P143" s="82"/>
      <c r="Q143" s="82"/>
      <c r="R143" s="82"/>
      <c r="S143" s="82"/>
      <c r="T143" s="82"/>
      <c r="U143" s="83"/>
      <c r="V143" s="82">
        <v>0</v>
      </c>
      <c r="W143" s="83">
        <v>0</v>
      </c>
    </row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0">
    <mergeCell ref="A58:A59"/>
    <mergeCell ref="A75:A77"/>
    <mergeCell ref="A83:A116"/>
    <mergeCell ref="A118:A119"/>
    <mergeCell ref="A126:A129"/>
    <mergeCell ref="A3:A20"/>
    <mergeCell ref="A30:A37"/>
    <mergeCell ref="A42:A44"/>
    <mergeCell ref="A49:A50"/>
    <mergeCell ref="A52:A56"/>
  </mergeCells>
  <printOptions horizontalCentered="1"/>
  <pageMargins left="0.23611111111111099" right="0.23611111111111099" top="0.3" bottom="0.3" header="0.511811023622047" footer="0.511811023622047"/>
  <pageSetup paperSize="9" fitToHeight="0" orientation="portrait" horizontalDpi="300" verticalDpi="300"/>
  <rowBreaks count="3" manualBreakCount="3">
    <brk id="22" max="16383" man="1"/>
    <brk id="72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1048576"/>
  <sheetViews>
    <sheetView zoomScale="90" zoomScaleNormal="90" workbookViewId="0">
      <pane ySplit="2" topLeftCell="A3" activePane="bottomLeft" state="frozen"/>
      <selection pane="bottomLeft" activeCell="D1" sqref="D1"/>
    </sheetView>
  </sheetViews>
  <sheetFormatPr defaultColWidth="11.5703125" defaultRowHeight="13.9" customHeight="1" x14ac:dyDescent="0.25"/>
  <cols>
    <col min="1" max="1" width="2.7109375" style="15" hidden="1" customWidth="1"/>
    <col min="2" max="2" width="3.140625" style="15" hidden="1" customWidth="1"/>
    <col min="3" max="3" width="3" style="15" hidden="1" customWidth="1"/>
    <col min="4" max="4" width="11.5703125" style="15" customWidth="1"/>
    <col min="5" max="5" width="8.7109375" style="15" customWidth="1"/>
    <col min="6" max="6" width="18.140625" style="15" customWidth="1"/>
    <col min="7" max="10" width="11" style="15" hidden="1" customWidth="1"/>
    <col min="11" max="11" width="12.7109375" style="15" customWidth="1"/>
    <col min="12" max="15" width="11" style="15" hidden="1" customWidth="1"/>
    <col min="16" max="17" width="12.7109375" style="15" customWidth="1"/>
    <col min="18" max="18" width="6.7109375" style="16" customWidth="1"/>
    <col min="19" max="19" width="12.7109375" style="15" customWidth="1"/>
    <col min="20" max="20" width="6.7109375" style="16" customWidth="1"/>
    <col min="21" max="21" width="12.7109375" style="15" customWidth="1"/>
    <col min="22" max="22" width="6.7109375" style="16" customWidth="1"/>
    <col min="23" max="23" width="12.7109375" style="15" customWidth="1"/>
    <col min="24" max="24" width="6.7109375" style="16" customWidth="1"/>
    <col min="25" max="26" width="11" style="15" hidden="1" customWidth="1"/>
    <col min="27" max="64" width="8.7109375" style="15" customWidth="1"/>
  </cols>
  <sheetData>
    <row r="1" spans="1:26" ht="13.9" customHeight="1" x14ac:dyDescent="0.25">
      <c r="A1" s="15" t="s">
        <v>116</v>
      </c>
      <c r="B1" s="15" t="s">
        <v>117</v>
      </c>
      <c r="C1" s="15" t="s">
        <v>118</v>
      </c>
      <c r="D1" s="17" t="s">
        <v>119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/>
      <c r="S1" s="18"/>
      <c r="T1" s="19"/>
      <c r="U1" s="18"/>
      <c r="V1" s="19"/>
      <c r="W1" s="18"/>
      <c r="X1" s="19"/>
      <c r="Y1" s="18"/>
      <c r="Z1" s="18"/>
    </row>
    <row r="2" spans="1:26" ht="13.9" customHeight="1" x14ac:dyDescent="0.25">
      <c r="D2" s="20"/>
      <c r="E2" s="20"/>
      <c r="F2" s="20"/>
      <c r="G2" s="21" t="s">
        <v>1</v>
      </c>
      <c r="H2" s="21" t="s">
        <v>2</v>
      </c>
      <c r="I2" s="21" t="s">
        <v>3</v>
      </c>
      <c r="J2" s="21" t="s">
        <v>4</v>
      </c>
      <c r="K2" s="21" t="s">
        <v>5</v>
      </c>
      <c r="L2" s="21" t="s">
        <v>6</v>
      </c>
      <c r="M2" s="21" t="s">
        <v>7</v>
      </c>
      <c r="N2" s="21" t="s">
        <v>8</v>
      </c>
      <c r="O2" s="21" t="s">
        <v>9</v>
      </c>
      <c r="P2" s="21" t="s">
        <v>10</v>
      </c>
      <c r="Q2" s="21" t="s">
        <v>11</v>
      </c>
      <c r="R2" s="22" t="s">
        <v>12</v>
      </c>
      <c r="S2" s="21" t="s">
        <v>13</v>
      </c>
      <c r="T2" s="22" t="s">
        <v>14</v>
      </c>
      <c r="U2" s="21" t="s">
        <v>15</v>
      </c>
      <c r="V2" s="22" t="s">
        <v>16</v>
      </c>
      <c r="W2" s="21" t="s">
        <v>17</v>
      </c>
      <c r="X2" s="22" t="s">
        <v>18</v>
      </c>
      <c r="Y2" s="21" t="s">
        <v>19</v>
      </c>
      <c r="Z2" s="21" t="s">
        <v>20</v>
      </c>
    </row>
    <row r="3" spans="1:26" ht="13.9" customHeight="1" x14ac:dyDescent="0.25">
      <c r="D3" s="8" t="s">
        <v>21</v>
      </c>
      <c r="E3" s="24">
        <v>111</v>
      </c>
      <c r="F3" s="24" t="s">
        <v>22</v>
      </c>
      <c r="G3" s="25">
        <f t="shared" ref="G3:Q3" si="0">G22+G161+G191+G220+G260+G353+G453</f>
        <v>968449.97000000009</v>
      </c>
      <c r="H3" s="25">
        <f t="shared" si="0"/>
        <v>1147861.77</v>
      </c>
      <c r="I3" s="25">
        <f t="shared" si="0"/>
        <v>1257583</v>
      </c>
      <c r="J3" s="25">
        <f t="shared" si="0"/>
        <v>1393725</v>
      </c>
      <c r="K3" s="25">
        <f t="shared" si="0"/>
        <v>1468334</v>
      </c>
      <c r="L3" s="25">
        <f t="shared" si="0"/>
        <v>122653</v>
      </c>
      <c r="M3" s="25">
        <f t="shared" si="0"/>
        <v>0</v>
      </c>
      <c r="N3" s="25">
        <f t="shared" si="0"/>
        <v>0</v>
      </c>
      <c r="O3" s="25">
        <f t="shared" si="0"/>
        <v>0</v>
      </c>
      <c r="P3" s="25">
        <f t="shared" si="0"/>
        <v>1590987</v>
      </c>
      <c r="Q3" s="25">
        <f t="shared" si="0"/>
        <v>317214.60999999993</v>
      </c>
      <c r="R3" s="26">
        <f t="shared" ref="R3:R18" si="1">IFERROR(Q3/$P3,0)</f>
        <v>0.19938227653651472</v>
      </c>
      <c r="S3" s="25">
        <f>S22+S161+S191+S220+S260+S353+S453</f>
        <v>0</v>
      </c>
      <c r="T3" s="26">
        <f t="shared" ref="T3:T18" si="2">IFERROR(S3/$P3,0)</f>
        <v>0</v>
      </c>
      <c r="U3" s="25">
        <f>U22+U161+U191+U220+U260+U353+U453</f>
        <v>0</v>
      </c>
      <c r="V3" s="26">
        <f t="shared" ref="V3:V18" si="3">IFERROR(U3/$P3,0)</f>
        <v>0</v>
      </c>
      <c r="W3" s="25">
        <f>W22+W161+W191+W220+W260+W353+W453</f>
        <v>0</v>
      </c>
      <c r="X3" s="26">
        <f t="shared" ref="X3:X18" si="4">IFERROR(W3/$P3,0)</f>
        <v>0</v>
      </c>
      <c r="Y3" s="25">
        <f>Y22+Y161+Y191+Y220+Y260+Y353+Y453</f>
        <v>1531565</v>
      </c>
      <c r="Z3" s="25">
        <f>Z22+Z161+Z191+Z220+Z260+Z353+Z453</f>
        <v>1545326</v>
      </c>
    </row>
    <row r="4" spans="1:26" ht="13.9" customHeight="1" x14ac:dyDescent="0.25">
      <c r="D4" s="8"/>
      <c r="E4" s="24">
        <v>41</v>
      </c>
      <c r="F4" s="24" t="s">
        <v>23</v>
      </c>
      <c r="G4" s="25">
        <f t="shared" ref="G4:Q4" si="5">G23+G162+G192+G221+G261+G354+G454</f>
        <v>916930.86999999988</v>
      </c>
      <c r="H4" s="25">
        <f t="shared" si="5"/>
        <v>1061924.4200000002</v>
      </c>
      <c r="I4" s="25">
        <f t="shared" si="5"/>
        <v>880115</v>
      </c>
      <c r="J4" s="25">
        <f t="shared" si="5"/>
        <v>869797</v>
      </c>
      <c r="K4" s="25">
        <f t="shared" si="5"/>
        <v>925819</v>
      </c>
      <c r="L4" s="25">
        <f t="shared" si="5"/>
        <v>397</v>
      </c>
      <c r="M4" s="25">
        <f t="shared" si="5"/>
        <v>0</v>
      </c>
      <c r="N4" s="25">
        <f t="shared" si="5"/>
        <v>0</v>
      </c>
      <c r="O4" s="25">
        <f t="shared" si="5"/>
        <v>0</v>
      </c>
      <c r="P4" s="25">
        <f t="shared" si="5"/>
        <v>926216</v>
      </c>
      <c r="Q4" s="25">
        <f t="shared" si="5"/>
        <v>188136.24</v>
      </c>
      <c r="R4" s="26">
        <f t="shared" si="1"/>
        <v>0.20312350466845747</v>
      </c>
      <c r="S4" s="25">
        <f>S23+S162+S192+S221+S261+S354+S454</f>
        <v>0</v>
      </c>
      <c r="T4" s="26">
        <f t="shared" si="2"/>
        <v>0</v>
      </c>
      <c r="U4" s="25">
        <f>U23+U162+U192+U221+U261+U354+U454</f>
        <v>0</v>
      </c>
      <c r="V4" s="26">
        <f t="shared" si="3"/>
        <v>0</v>
      </c>
      <c r="W4" s="25">
        <f>W23+W162+W192+W221+W261+W354+W454</f>
        <v>0</v>
      </c>
      <c r="X4" s="26">
        <f t="shared" si="4"/>
        <v>0</v>
      </c>
      <c r="Y4" s="25">
        <f>Y23+Y162+Y192+Y221+Y261+Y354+Y454</f>
        <v>921959</v>
      </c>
      <c r="Z4" s="25">
        <f>Z23+Z162+Z192+Z221+Z261+Z354+Z454</f>
        <v>961028</v>
      </c>
    </row>
    <row r="5" spans="1:26" ht="13.9" customHeight="1" x14ac:dyDescent="0.25">
      <c r="D5" s="8"/>
      <c r="E5" s="24">
        <v>71</v>
      </c>
      <c r="F5" s="24" t="s">
        <v>24</v>
      </c>
      <c r="G5" s="25">
        <f t="shared" ref="G5:Q5" si="6">G262</f>
        <v>3000</v>
      </c>
      <c r="H5" s="25">
        <f t="shared" si="6"/>
        <v>3000</v>
      </c>
      <c r="I5" s="25">
        <f t="shared" si="6"/>
        <v>3000</v>
      </c>
      <c r="J5" s="25">
        <f t="shared" si="6"/>
        <v>3000</v>
      </c>
      <c r="K5" s="25">
        <f t="shared" si="6"/>
        <v>3000</v>
      </c>
      <c r="L5" s="25">
        <f t="shared" si="6"/>
        <v>0</v>
      </c>
      <c r="M5" s="25">
        <f t="shared" si="6"/>
        <v>0</v>
      </c>
      <c r="N5" s="25">
        <f t="shared" si="6"/>
        <v>0</v>
      </c>
      <c r="O5" s="25">
        <f t="shared" si="6"/>
        <v>0</v>
      </c>
      <c r="P5" s="25">
        <f t="shared" si="6"/>
        <v>3000</v>
      </c>
      <c r="Q5" s="25">
        <f t="shared" si="6"/>
        <v>0</v>
      </c>
      <c r="R5" s="26">
        <f t="shared" si="1"/>
        <v>0</v>
      </c>
      <c r="S5" s="25">
        <f>S262</f>
        <v>0</v>
      </c>
      <c r="T5" s="26">
        <f t="shared" si="2"/>
        <v>0</v>
      </c>
      <c r="U5" s="25">
        <f>U262</f>
        <v>0</v>
      </c>
      <c r="V5" s="26">
        <f t="shared" si="3"/>
        <v>0</v>
      </c>
      <c r="W5" s="25">
        <f>W262</f>
        <v>0</v>
      </c>
      <c r="X5" s="26">
        <f t="shared" si="4"/>
        <v>0</v>
      </c>
      <c r="Y5" s="25">
        <f>Y262</f>
        <v>3000</v>
      </c>
      <c r="Z5" s="25">
        <f>Z262</f>
        <v>3000</v>
      </c>
    </row>
    <row r="6" spans="1:26" ht="13.9" customHeight="1" x14ac:dyDescent="0.25">
      <c r="D6" s="8"/>
      <c r="E6" s="24">
        <v>72</v>
      </c>
      <c r="F6" s="24" t="s">
        <v>25</v>
      </c>
      <c r="G6" s="25">
        <f t="shared" ref="G6:Q6" si="7">G24+G163+G193+G222+G263+G455</f>
        <v>100119.76</v>
      </c>
      <c r="H6" s="25">
        <f t="shared" si="7"/>
        <v>100034.51</v>
      </c>
      <c r="I6" s="25">
        <f t="shared" si="7"/>
        <v>95222</v>
      </c>
      <c r="J6" s="25">
        <f t="shared" si="7"/>
        <v>89099</v>
      </c>
      <c r="K6" s="25">
        <f t="shared" si="7"/>
        <v>96057</v>
      </c>
      <c r="L6" s="25">
        <f t="shared" si="7"/>
        <v>46789</v>
      </c>
      <c r="M6" s="25">
        <f t="shared" si="7"/>
        <v>0</v>
      </c>
      <c r="N6" s="25">
        <f t="shared" si="7"/>
        <v>0</v>
      </c>
      <c r="O6" s="25">
        <f t="shared" si="7"/>
        <v>0</v>
      </c>
      <c r="P6" s="25">
        <f t="shared" si="7"/>
        <v>142846</v>
      </c>
      <c r="Q6" s="25">
        <f t="shared" si="7"/>
        <v>19022.05</v>
      </c>
      <c r="R6" s="26">
        <f t="shared" si="1"/>
        <v>0.13316473684947425</v>
      </c>
      <c r="S6" s="25">
        <f>S24+S163+S193+S222+S263+S455</f>
        <v>0</v>
      </c>
      <c r="T6" s="26">
        <f t="shared" si="2"/>
        <v>0</v>
      </c>
      <c r="U6" s="25">
        <f>U24+U163+U193+U222+U263+U455</f>
        <v>0</v>
      </c>
      <c r="V6" s="26">
        <f t="shared" si="3"/>
        <v>0</v>
      </c>
      <c r="W6" s="25">
        <f>W24+W163+W193+W222+W263+W455</f>
        <v>0</v>
      </c>
      <c r="X6" s="26">
        <f t="shared" si="4"/>
        <v>0</v>
      </c>
      <c r="Y6" s="25">
        <f>Y24+Y163+Y193+Y222+Y263+Y455</f>
        <v>96952</v>
      </c>
      <c r="Z6" s="25">
        <f>Z24+Z163+Z193+Z222+Z263+Z455</f>
        <v>96952</v>
      </c>
    </row>
    <row r="7" spans="1:26" ht="13.9" customHeight="1" x14ac:dyDescent="0.25">
      <c r="D7" s="8"/>
      <c r="E7" s="24"/>
      <c r="F7" s="27" t="s">
        <v>120</v>
      </c>
      <c r="G7" s="28">
        <f t="shared" ref="G7:Q7" si="8">SUM(G3:G6)</f>
        <v>1988500.5999999999</v>
      </c>
      <c r="H7" s="28">
        <f t="shared" si="8"/>
        <v>2312820.7000000002</v>
      </c>
      <c r="I7" s="28">
        <f t="shared" si="8"/>
        <v>2235920</v>
      </c>
      <c r="J7" s="28">
        <f t="shared" si="8"/>
        <v>2355621</v>
      </c>
      <c r="K7" s="28">
        <f t="shared" si="8"/>
        <v>2493210</v>
      </c>
      <c r="L7" s="28">
        <f t="shared" si="8"/>
        <v>169839</v>
      </c>
      <c r="M7" s="28">
        <f t="shared" si="8"/>
        <v>0</v>
      </c>
      <c r="N7" s="28">
        <f t="shared" si="8"/>
        <v>0</v>
      </c>
      <c r="O7" s="28">
        <f t="shared" si="8"/>
        <v>0</v>
      </c>
      <c r="P7" s="28">
        <f t="shared" si="8"/>
        <v>2663049</v>
      </c>
      <c r="Q7" s="28">
        <f t="shared" si="8"/>
        <v>524372.89999999991</v>
      </c>
      <c r="R7" s="29">
        <f t="shared" si="1"/>
        <v>0.19690696641331043</v>
      </c>
      <c r="S7" s="28">
        <f>SUM(S3:S6)</f>
        <v>0</v>
      </c>
      <c r="T7" s="29">
        <f t="shared" si="2"/>
        <v>0</v>
      </c>
      <c r="U7" s="28">
        <f>SUM(U3:U6)</f>
        <v>0</v>
      </c>
      <c r="V7" s="29">
        <f t="shared" si="3"/>
        <v>0</v>
      </c>
      <c r="W7" s="28">
        <f>SUM(W3:W6)</f>
        <v>0</v>
      </c>
      <c r="X7" s="29">
        <f t="shared" si="4"/>
        <v>0</v>
      </c>
      <c r="Y7" s="28">
        <f>SUM(Y3:Y6)</f>
        <v>2553476</v>
      </c>
      <c r="Z7" s="28">
        <f>SUM(Z3:Z6)</f>
        <v>2606306</v>
      </c>
    </row>
    <row r="8" spans="1:26" ht="13.9" customHeight="1" x14ac:dyDescent="0.25">
      <c r="D8" s="8"/>
      <c r="E8" s="24">
        <v>111</v>
      </c>
      <c r="F8" s="24" t="s">
        <v>22</v>
      </c>
      <c r="G8" s="25">
        <f t="shared" ref="G8:Q8" si="9">G520</f>
        <v>150933.32999999999</v>
      </c>
      <c r="H8" s="25">
        <f t="shared" si="9"/>
        <v>199376</v>
      </c>
      <c r="I8" s="25">
        <f t="shared" si="9"/>
        <v>998572</v>
      </c>
      <c r="J8" s="25">
        <f t="shared" si="9"/>
        <v>553872</v>
      </c>
      <c r="K8" s="25">
        <f t="shared" si="9"/>
        <v>2819430</v>
      </c>
      <c r="L8" s="25">
        <f t="shared" si="9"/>
        <v>138108</v>
      </c>
      <c r="M8" s="25">
        <f t="shared" si="9"/>
        <v>0</v>
      </c>
      <c r="N8" s="25">
        <f t="shared" si="9"/>
        <v>0</v>
      </c>
      <c r="O8" s="25">
        <f t="shared" si="9"/>
        <v>0</v>
      </c>
      <c r="P8" s="25">
        <f t="shared" si="9"/>
        <v>2957538</v>
      </c>
      <c r="Q8" s="25">
        <f t="shared" si="9"/>
        <v>0</v>
      </c>
      <c r="R8" s="26">
        <f t="shared" si="1"/>
        <v>0</v>
      </c>
      <c r="S8" s="25">
        <f>S520</f>
        <v>0</v>
      </c>
      <c r="T8" s="26">
        <f t="shared" si="2"/>
        <v>0</v>
      </c>
      <c r="U8" s="25">
        <f>U520</f>
        <v>0</v>
      </c>
      <c r="V8" s="26">
        <f t="shared" si="3"/>
        <v>0</v>
      </c>
      <c r="W8" s="25">
        <f>W520</f>
        <v>0</v>
      </c>
      <c r="X8" s="26">
        <f t="shared" si="4"/>
        <v>0</v>
      </c>
      <c r="Y8" s="25">
        <f t="shared" ref="Y8:Z10" si="10">Y520</f>
        <v>0</v>
      </c>
      <c r="Z8" s="25">
        <f t="shared" si="10"/>
        <v>0</v>
      </c>
    </row>
    <row r="9" spans="1:26" ht="13.9" customHeight="1" x14ac:dyDescent="0.25">
      <c r="D9" s="8"/>
      <c r="E9" s="24">
        <v>41</v>
      </c>
      <c r="F9" s="24" t="s">
        <v>23</v>
      </c>
      <c r="G9" s="25">
        <f t="shared" ref="G9:Q9" si="11">G521</f>
        <v>614423.27</v>
      </c>
      <c r="H9" s="25">
        <f t="shared" si="11"/>
        <v>380343.20999999996</v>
      </c>
      <c r="I9" s="25">
        <f t="shared" si="11"/>
        <v>666456</v>
      </c>
      <c r="J9" s="25">
        <f t="shared" si="11"/>
        <v>493713</v>
      </c>
      <c r="K9" s="25">
        <f t="shared" si="11"/>
        <v>939275</v>
      </c>
      <c r="L9" s="25">
        <f t="shared" si="11"/>
        <v>0</v>
      </c>
      <c r="M9" s="25">
        <f t="shared" si="11"/>
        <v>0</v>
      </c>
      <c r="N9" s="25">
        <f t="shared" si="11"/>
        <v>0</v>
      </c>
      <c r="O9" s="25">
        <f t="shared" si="11"/>
        <v>0</v>
      </c>
      <c r="P9" s="25">
        <f t="shared" si="11"/>
        <v>939275</v>
      </c>
      <c r="Q9" s="25">
        <f t="shared" si="11"/>
        <v>7166.5</v>
      </c>
      <c r="R9" s="26">
        <f t="shared" si="1"/>
        <v>7.629820872481435E-3</v>
      </c>
      <c r="S9" s="25">
        <f>S521</f>
        <v>0</v>
      </c>
      <c r="T9" s="26">
        <f t="shared" si="2"/>
        <v>0</v>
      </c>
      <c r="U9" s="25">
        <f>U521</f>
        <v>0</v>
      </c>
      <c r="V9" s="26">
        <f t="shared" si="3"/>
        <v>0</v>
      </c>
      <c r="W9" s="25">
        <f>W521</f>
        <v>0</v>
      </c>
      <c r="X9" s="26">
        <f t="shared" si="4"/>
        <v>0</v>
      </c>
      <c r="Y9" s="25">
        <f t="shared" si="10"/>
        <v>659546</v>
      </c>
      <c r="Z9" s="25">
        <f t="shared" si="10"/>
        <v>687381</v>
      </c>
    </row>
    <row r="10" spans="1:26" ht="13.9" customHeight="1" x14ac:dyDescent="0.25">
      <c r="D10" s="8"/>
      <c r="E10" s="24">
        <v>71</v>
      </c>
      <c r="F10" s="24" t="s">
        <v>24</v>
      </c>
      <c r="G10" s="25">
        <f t="shared" ref="G10:Q10" si="12">G522</f>
        <v>0</v>
      </c>
      <c r="H10" s="25">
        <f t="shared" si="12"/>
        <v>0</v>
      </c>
      <c r="I10" s="25">
        <f t="shared" si="12"/>
        <v>6000</v>
      </c>
      <c r="J10" s="25">
        <f t="shared" si="12"/>
        <v>6000</v>
      </c>
      <c r="K10" s="25">
        <f t="shared" si="12"/>
        <v>0</v>
      </c>
      <c r="L10" s="25">
        <f t="shared" si="12"/>
        <v>0</v>
      </c>
      <c r="M10" s="25">
        <f t="shared" si="12"/>
        <v>0</v>
      </c>
      <c r="N10" s="25">
        <f t="shared" si="12"/>
        <v>0</v>
      </c>
      <c r="O10" s="25">
        <f t="shared" si="12"/>
        <v>0</v>
      </c>
      <c r="P10" s="25">
        <f t="shared" si="12"/>
        <v>0</v>
      </c>
      <c r="Q10" s="25">
        <f t="shared" si="12"/>
        <v>0</v>
      </c>
      <c r="R10" s="26">
        <f t="shared" si="1"/>
        <v>0</v>
      </c>
      <c r="S10" s="25">
        <f>S522</f>
        <v>0</v>
      </c>
      <c r="T10" s="26">
        <f t="shared" si="2"/>
        <v>0</v>
      </c>
      <c r="U10" s="25">
        <f>U522</f>
        <v>0</v>
      </c>
      <c r="V10" s="26">
        <f t="shared" si="3"/>
        <v>0</v>
      </c>
      <c r="W10" s="25">
        <f>W522</f>
        <v>0</v>
      </c>
      <c r="X10" s="26">
        <f t="shared" si="4"/>
        <v>0</v>
      </c>
      <c r="Y10" s="25">
        <f t="shared" si="10"/>
        <v>0</v>
      </c>
      <c r="Z10" s="25">
        <f t="shared" si="10"/>
        <v>0</v>
      </c>
    </row>
    <row r="11" spans="1:26" ht="13.9" customHeight="1" x14ac:dyDescent="0.25">
      <c r="D11" s="8"/>
      <c r="E11" s="24"/>
      <c r="F11" s="27" t="s">
        <v>121</v>
      </c>
      <c r="G11" s="28">
        <f t="shared" ref="G11:Q11" si="13">SUM(G8:G10)</f>
        <v>765356.6</v>
      </c>
      <c r="H11" s="28">
        <f t="shared" si="13"/>
        <v>579719.21</v>
      </c>
      <c r="I11" s="28">
        <f t="shared" si="13"/>
        <v>1671028</v>
      </c>
      <c r="J11" s="28">
        <f t="shared" si="13"/>
        <v>1053585</v>
      </c>
      <c r="K11" s="28">
        <f t="shared" si="13"/>
        <v>3758705</v>
      </c>
      <c r="L11" s="28">
        <f t="shared" si="13"/>
        <v>138108</v>
      </c>
      <c r="M11" s="28">
        <f t="shared" si="13"/>
        <v>0</v>
      </c>
      <c r="N11" s="28">
        <f t="shared" si="13"/>
        <v>0</v>
      </c>
      <c r="O11" s="28">
        <f t="shared" si="13"/>
        <v>0</v>
      </c>
      <c r="P11" s="28">
        <f t="shared" si="13"/>
        <v>3896813</v>
      </c>
      <c r="Q11" s="28">
        <f t="shared" si="13"/>
        <v>7166.5</v>
      </c>
      <c r="R11" s="29">
        <f t="shared" si="1"/>
        <v>1.8390669503514795E-3</v>
      </c>
      <c r="S11" s="28">
        <f>SUM(S8:S10)</f>
        <v>0</v>
      </c>
      <c r="T11" s="29">
        <f t="shared" si="2"/>
        <v>0</v>
      </c>
      <c r="U11" s="28">
        <f>SUM(U8:U10)</f>
        <v>0</v>
      </c>
      <c r="V11" s="29">
        <f t="shared" si="3"/>
        <v>0</v>
      </c>
      <c r="W11" s="28">
        <f>SUM(W8:W10)</f>
        <v>0</v>
      </c>
      <c r="X11" s="29">
        <f t="shared" si="4"/>
        <v>0</v>
      </c>
      <c r="Y11" s="28">
        <f>SUM(Y8:Y10)</f>
        <v>659546</v>
      </c>
      <c r="Z11" s="28">
        <f>SUM(Z8:Z10)</f>
        <v>687381</v>
      </c>
    </row>
    <row r="12" spans="1:26" ht="13.9" customHeight="1" x14ac:dyDescent="0.25">
      <c r="D12" s="8"/>
      <c r="E12" s="24">
        <v>71</v>
      </c>
      <c r="F12" s="24" t="s">
        <v>24</v>
      </c>
      <c r="G12" s="25">
        <f t="shared" ref="G12:Q12" si="14">G621</f>
        <v>4020</v>
      </c>
      <c r="H12" s="25">
        <f t="shared" si="14"/>
        <v>45900</v>
      </c>
      <c r="I12" s="25">
        <f t="shared" si="14"/>
        <v>6000</v>
      </c>
      <c r="J12" s="25">
        <f t="shared" si="14"/>
        <v>22518</v>
      </c>
      <c r="K12" s="25">
        <f t="shared" si="14"/>
        <v>1750</v>
      </c>
      <c r="L12" s="25">
        <f t="shared" si="14"/>
        <v>10510</v>
      </c>
      <c r="M12" s="25">
        <f t="shared" si="14"/>
        <v>0</v>
      </c>
      <c r="N12" s="25">
        <f t="shared" si="14"/>
        <v>0</v>
      </c>
      <c r="O12" s="25">
        <f t="shared" si="14"/>
        <v>0</v>
      </c>
      <c r="P12" s="25">
        <f t="shared" si="14"/>
        <v>12260</v>
      </c>
      <c r="Q12" s="25">
        <f t="shared" si="14"/>
        <v>10510</v>
      </c>
      <c r="R12" s="26">
        <f t="shared" si="1"/>
        <v>0.85725938009787928</v>
      </c>
      <c r="S12" s="25">
        <f>S621</f>
        <v>0</v>
      </c>
      <c r="T12" s="26">
        <f t="shared" si="2"/>
        <v>0</v>
      </c>
      <c r="U12" s="25">
        <f>U621</f>
        <v>0</v>
      </c>
      <c r="V12" s="26">
        <f t="shared" si="3"/>
        <v>0</v>
      </c>
      <c r="W12" s="25">
        <f>W621</f>
        <v>0</v>
      </c>
      <c r="X12" s="26">
        <f t="shared" si="4"/>
        <v>0</v>
      </c>
      <c r="Y12" s="25">
        <f>Y621</f>
        <v>0</v>
      </c>
      <c r="Z12" s="25">
        <f>Z621</f>
        <v>0</v>
      </c>
    </row>
    <row r="13" spans="1:26" ht="13.9" customHeight="1" x14ac:dyDescent="0.25">
      <c r="D13" s="8"/>
      <c r="E13" s="24"/>
      <c r="F13" s="27" t="s">
        <v>28</v>
      </c>
      <c r="G13" s="28">
        <f t="shared" ref="G13:Q13" si="15">SUM(G12)</f>
        <v>4020</v>
      </c>
      <c r="H13" s="28">
        <f t="shared" si="15"/>
        <v>45900</v>
      </c>
      <c r="I13" s="28">
        <f t="shared" si="15"/>
        <v>6000</v>
      </c>
      <c r="J13" s="28">
        <f t="shared" si="15"/>
        <v>22518</v>
      </c>
      <c r="K13" s="28">
        <f t="shared" si="15"/>
        <v>1750</v>
      </c>
      <c r="L13" s="28">
        <f t="shared" si="15"/>
        <v>10510</v>
      </c>
      <c r="M13" s="28">
        <f t="shared" si="15"/>
        <v>0</v>
      </c>
      <c r="N13" s="28">
        <f t="shared" si="15"/>
        <v>0</v>
      </c>
      <c r="O13" s="28">
        <f t="shared" si="15"/>
        <v>0</v>
      </c>
      <c r="P13" s="28">
        <f t="shared" si="15"/>
        <v>12260</v>
      </c>
      <c r="Q13" s="28">
        <f t="shared" si="15"/>
        <v>10510</v>
      </c>
      <c r="R13" s="29">
        <f t="shared" si="1"/>
        <v>0.85725938009787928</v>
      </c>
      <c r="S13" s="28">
        <f>SUM(S12)</f>
        <v>0</v>
      </c>
      <c r="T13" s="29">
        <f t="shared" si="2"/>
        <v>0</v>
      </c>
      <c r="U13" s="28">
        <f>SUM(U12)</f>
        <v>0</v>
      </c>
      <c r="V13" s="29">
        <f t="shared" si="3"/>
        <v>0</v>
      </c>
      <c r="W13" s="28">
        <f>SUM(W12)</f>
        <v>0</v>
      </c>
      <c r="X13" s="29">
        <f t="shared" si="4"/>
        <v>0</v>
      </c>
      <c r="Y13" s="28">
        <f>SUM(Y12)</f>
        <v>0</v>
      </c>
      <c r="Z13" s="28">
        <f>SUM(Z12)</f>
        <v>0</v>
      </c>
    </row>
    <row r="14" spans="1:26" ht="13.9" customHeight="1" x14ac:dyDescent="0.25">
      <c r="D14" s="8"/>
      <c r="E14" s="24">
        <v>111</v>
      </c>
      <c r="F14" s="24" t="s">
        <v>22</v>
      </c>
      <c r="G14" s="25">
        <f t="shared" ref="G14:Q14" si="16">G3+G8</f>
        <v>1119383.3</v>
      </c>
      <c r="H14" s="25">
        <f t="shared" si="16"/>
        <v>1347237.77</v>
      </c>
      <c r="I14" s="25">
        <f t="shared" si="16"/>
        <v>2256155</v>
      </c>
      <c r="J14" s="25">
        <f t="shared" si="16"/>
        <v>1947597</v>
      </c>
      <c r="K14" s="25">
        <f t="shared" si="16"/>
        <v>4287764</v>
      </c>
      <c r="L14" s="25">
        <f t="shared" si="16"/>
        <v>260761</v>
      </c>
      <c r="M14" s="25">
        <f t="shared" si="16"/>
        <v>0</v>
      </c>
      <c r="N14" s="25">
        <f t="shared" si="16"/>
        <v>0</v>
      </c>
      <c r="O14" s="25">
        <f t="shared" si="16"/>
        <v>0</v>
      </c>
      <c r="P14" s="25">
        <f t="shared" si="16"/>
        <v>4548525</v>
      </c>
      <c r="Q14" s="25">
        <f t="shared" si="16"/>
        <v>317214.60999999993</v>
      </c>
      <c r="R14" s="26">
        <f t="shared" si="1"/>
        <v>6.9740104759235116E-2</v>
      </c>
      <c r="S14" s="25">
        <f>S3+S8</f>
        <v>0</v>
      </c>
      <c r="T14" s="26">
        <f t="shared" si="2"/>
        <v>0</v>
      </c>
      <c r="U14" s="25">
        <f>U3+U8</f>
        <v>0</v>
      </c>
      <c r="V14" s="26">
        <f t="shared" si="3"/>
        <v>0</v>
      </c>
      <c r="W14" s="25">
        <f>W3+W8</f>
        <v>0</v>
      </c>
      <c r="X14" s="26">
        <f t="shared" si="4"/>
        <v>0</v>
      </c>
      <c r="Y14" s="25">
        <f>Y3+Y8</f>
        <v>1531565</v>
      </c>
      <c r="Z14" s="25">
        <f>Z3+Z8</f>
        <v>1545326</v>
      </c>
    </row>
    <row r="15" spans="1:26" ht="13.9" customHeight="1" x14ac:dyDescent="0.25">
      <c r="D15" s="8"/>
      <c r="E15" s="24">
        <v>41</v>
      </c>
      <c r="F15" s="24" t="s">
        <v>23</v>
      </c>
      <c r="G15" s="25">
        <f t="shared" ref="G15:Q15" si="17">G4+G9</f>
        <v>1531354.14</v>
      </c>
      <c r="H15" s="25">
        <f t="shared" si="17"/>
        <v>1442267.6300000001</v>
      </c>
      <c r="I15" s="25">
        <f t="shared" si="17"/>
        <v>1546571</v>
      </c>
      <c r="J15" s="25">
        <f t="shared" si="17"/>
        <v>1363510</v>
      </c>
      <c r="K15" s="25">
        <f t="shared" si="17"/>
        <v>1865094</v>
      </c>
      <c r="L15" s="25">
        <f t="shared" si="17"/>
        <v>397</v>
      </c>
      <c r="M15" s="25">
        <f t="shared" si="17"/>
        <v>0</v>
      </c>
      <c r="N15" s="25">
        <f t="shared" si="17"/>
        <v>0</v>
      </c>
      <c r="O15" s="25">
        <f t="shared" si="17"/>
        <v>0</v>
      </c>
      <c r="P15" s="25">
        <f t="shared" si="17"/>
        <v>1865491</v>
      </c>
      <c r="Q15" s="25">
        <f t="shared" si="17"/>
        <v>195302.74</v>
      </c>
      <c r="R15" s="26">
        <f t="shared" si="1"/>
        <v>0.10469240537745826</v>
      </c>
      <c r="S15" s="25">
        <f>S4+S9</f>
        <v>0</v>
      </c>
      <c r="T15" s="26">
        <f t="shared" si="2"/>
        <v>0</v>
      </c>
      <c r="U15" s="25">
        <f>U4+U9</f>
        <v>0</v>
      </c>
      <c r="V15" s="26">
        <f t="shared" si="3"/>
        <v>0</v>
      </c>
      <c r="W15" s="25">
        <f>W4+W9</f>
        <v>0</v>
      </c>
      <c r="X15" s="26">
        <f t="shared" si="4"/>
        <v>0</v>
      </c>
      <c r="Y15" s="25">
        <f>Y4+Y9</f>
        <v>1581505</v>
      </c>
      <c r="Z15" s="25">
        <f>Z4+Z9</f>
        <v>1648409</v>
      </c>
    </row>
    <row r="16" spans="1:26" ht="13.9" customHeight="1" x14ac:dyDescent="0.25">
      <c r="D16" s="8"/>
      <c r="E16" s="24">
        <v>71</v>
      </c>
      <c r="F16" s="24" t="s">
        <v>24</v>
      </c>
      <c r="G16" s="25">
        <f t="shared" ref="G16:Q16" si="18">G5+G10+G12</f>
        <v>7020</v>
      </c>
      <c r="H16" s="25">
        <f t="shared" si="18"/>
        <v>48900</v>
      </c>
      <c r="I16" s="25">
        <f t="shared" si="18"/>
        <v>15000</v>
      </c>
      <c r="J16" s="25">
        <f t="shared" si="18"/>
        <v>31518</v>
      </c>
      <c r="K16" s="25">
        <f t="shared" si="18"/>
        <v>4750</v>
      </c>
      <c r="L16" s="25">
        <f t="shared" si="18"/>
        <v>10510</v>
      </c>
      <c r="M16" s="25">
        <f t="shared" si="18"/>
        <v>0</v>
      </c>
      <c r="N16" s="25">
        <f t="shared" si="18"/>
        <v>0</v>
      </c>
      <c r="O16" s="25">
        <f t="shared" si="18"/>
        <v>0</v>
      </c>
      <c r="P16" s="25">
        <f t="shared" si="18"/>
        <v>15260</v>
      </c>
      <c r="Q16" s="25">
        <f t="shared" si="18"/>
        <v>10510</v>
      </c>
      <c r="R16" s="26">
        <f t="shared" si="1"/>
        <v>0.68872870249017037</v>
      </c>
      <c r="S16" s="25">
        <f>S5+S10+S12</f>
        <v>0</v>
      </c>
      <c r="T16" s="26">
        <f t="shared" si="2"/>
        <v>0</v>
      </c>
      <c r="U16" s="25">
        <f>U5+U10+U12</f>
        <v>0</v>
      </c>
      <c r="V16" s="26">
        <f t="shared" si="3"/>
        <v>0</v>
      </c>
      <c r="W16" s="25">
        <f>W5+W10+W12</f>
        <v>0</v>
      </c>
      <c r="X16" s="26">
        <f t="shared" si="4"/>
        <v>0</v>
      </c>
      <c r="Y16" s="25">
        <f>Y5+Y10+Y12</f>
        <v>3000</v>
      </c>
      <c r="Z16" s="25">
        <f>Z5+Z10+Z12</f>
        <v>3000</v>
      </c>
    </row>
    <row r="17" spans="1:26" ht="13.9" customHeight="1" x14ac:dyDescent="0.25">
      <c r="D17" s="8"/>
      <c r="E17" s="24">
        <v>72</v>
      </c>
      <c r="F17" s="24" t="s">
        <v>25</v>
      </c>
      <c r="G17" s="25">
        <f t="shared" ref="G17:Q17" si="19">G6</f>
        <v>100119.76</v>
      </c>
      <c r="H17" s="25">
        <f t="shared" si="19"/>
        <v>100034.51</v>
      </c>
      <c r="I17" s="25">
        <f t="shared" si="19"/>
        <v>95222</v>
      </c>
      <c r="J17" s="25">
        <f t="shared" si="19"/>
        <v>89099</v>
      </c>
      <c r="K17" s="25">
        <f t="shared" si="19"/>
        <v>96057</v>
      </c>
      <c r="L17" s="25">
        <f t="shared" si="19"/>
        <v>46789</v>
      </c>
      <c r="M17" s="25">
        <f t="shared" si="19"/>
        <v>0</v>
      </c>
      <c r="N17" s="25">
        <f t="shared" si="19"/>
        <v>0</v>
      </c>
      <c r="O17" s="25">
        <f t="shared" si="19"/>
        <v>0</v>
      </c>
      <c r="P17" s="25">
        <f t="shared" si="19"/>
        <v>142846</v>
      </c>
      <c r="Q17" s="25">
        <f t="shared" si="19"/>
        <v>19022.05</v>
      </c>
      <c r="R17" s="26">
        <f t="shared" si="1"/>
        <v>0.13316473684947425</v>
      </c>
      <c r="S17" s="25">
        <f>S6</f>
        <v>0</v>
      </c>
      <c r="T17" s="26">
        <f t="shared" si="2"/>
        <v>0</v>
      </c>
      <c r="U17" s="25">
        <f>U6</f>
        <v>0</v>
      </c>
      <c r="V17" s="26">
        <f t="shared" si="3"/>
        <v>0</v>
      </c>
      <c r="W17" s="25">
        <f>W6</f>
        <v>0</v>
      </c>
      <c r="X17" s="26">
        <f t="shared" si="4"/>
        <v>0</v>
      </c>
      <c r="Y17" s="25">
        <f>Y6</f>
        <v>96952</v>
      </c>
      <c r="Z17" s="25">
        <f>Z6</f>
        <v>96952</v>
      </c>
    </row>
    <row r="18" spans="1:26" ht="13.9" customHeight="1" x14ac:dyDescent="0.25">
      <c r="D18" s="30"/>
      <c r="E18" s="31"/>
      <c r="F18" s="27" t="s">
        <v>122</v>
      </c>
      <c r="G18" s="28">
        <f t="shared" ref="G18:Q18" si="20">SUM(G14:G17)</f>
        <v>2757877.1999999997</v>
      </c>
      <c r="H18" s="28">
        <f t="shared" si="20"/>
        <v>2938439.91</v>
      </c>
      <c r="I18" s="28">
        <f t="shared" si="20"/>
        <v>3912948</v>
      </c>
      <c r="J18" s="28">
        <f t="shared" si="20"/>
        <v>3431724</v>
      </c>
      <c r="K18" s="28">
        <f t="shared" si="20"/>
        <v>6253665</v>
      </c>
      <c r="L18" s="28">
        <f t="shared" si="20"/>
        <v>318457</v>
      </c>
      <c r="M18" s="28">
        <f t="shared" si="20"/>
        <v>0</v>
      </c>
      <c r="N18" s="28">
        <f t="shared" si="20"/>
        <v>0</v>
      </c>
      <c r="O18" s="28">
        <f t="shared" si="20"/>
        <v>0</v>
      </c>
      <c r="P18" s="28">
        <f t="shared" si="20"/>
        <v>6572122</v>
      </c>
      <c r="Q18" s="28">
        <f t="shared" si="20"/>
        <v>542049.39999999991</v>
      </c>
      <c r="R18" s="29">
        <f t="shared" si="1"/>
        <v>8.2477075136462755E-2</v>
      </c>
      <c r="S18" s="28">
        <f>SUM(S14:S17)</f>
        <v>0</v>
      </c>
      <c r="T18" s="29">
        <f t="shared" si="2"/>
        <v>0</v>
      </c>
      <c r="U18" s="28">
        <f>SUM(U14:U17)</f>
        <v>0</v>
      </c>
      <c r="V18" s="29">
        <f t="shared" si="3"/>
        <v>0</v>
      </c>
      <c r="W18" s="28">
        <f>SUM(W14:W17)</f>
        <v>0</v>
      </c>
      <c r="X18" s="29">
        <f t="shared" si="4"/>
        <v>0</v>
      </c>
      <c r="Y18" s="28">
        <f>SUM(Y14:Y17)</f>
        <v>3213022</v>
      </c>
      <c r="Z18" s="28">
        <f>SUM(Z14:Z17)</f>
        <v>3293687</v>
      </c>
    </row>
    <row r="20" spans="1:26" ht="13.9" customHeight="1" x14ac:dyDescent="0.25">
      <c r="D20" s="7" t="s">
        <v>123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9" customHeight="1" x14ac:dyDescent="0.25">
      <c r="D21" s="20"/>
      <c r="E21" s="20"/>
      <c r="F21" s="20"/>
      <c r="G21" s="21" t="s">
        <v>1</v>
      </c>
      <c r="H21" s="21" t="s">
        <v>2</v>
      </c>
      <c r="I21" s="21" t="s">
        <v>3</v>
      </c>
      <c r="J21" s="21" t="s">
        <v>4</v>
      </c>
      <c r="K21" s="21" t="s">
        <v>5</v>
      </c>
      <c r="L21" s="21" t="s">
        <v>6</v>
      </c>
      <c r="M21" s="21" t="s">
        <v>7</v>
      </c>
      <c r="N21" s="21" t="s">
        <v>8</v>
      </c>
      <c r="O21" s="21" t="s">
        <v>9</v>
      </c>
      <c r="P21" s="21" t="s">
        <v>10</v>
      </c>
      <c r="Q21" s="21" t="s">
        <v>11</v>
      </c>
      <c r="R21" s="22" t="s">
        <v>12</v>
      </c>
      <c r="S21" s="21" t="s">
        <v>13</v>
      </c>
      <c r="T21" s="22" t="s">
        <v>14</v>
      </c>
      <c r="U21" s="21" t="s">
        <v>15</v>
      </c>
      <c r="V21" s="22" t="s">
        <v>16</v>
      </c>
      <c r="W21" s="21" t="s">
        <v>17</v>
      </c>
      <c r="X21" s="22" t="s">
        <v>18</v>
      </c>
      <c r="Y21" s="21" t="s">
        <v>19</v>
      </c>
      <c r="Z21" s="21" t="s">
        <v>20</v>
      </c>
    </row>
    <row r="22" spans="1:26" ht="13.9" customHeight="1" x14ac:dyDescent="0.25">
      <c r="A22" s="15">
        <v>1</v>
      </c>
      <c r="D22" s="6" t="s">
        <v>21</v>
      </c>
      <c r="E22" s="35">
        <v>111</v>
      </c>
      <c r="F22" s="35" t="s">
        <v>45</v>
      </c>
      <c r="G22" s="36">
        <f t="shared" ref="G22:Q22" si="21">G29+G130+G139+G156</f>
        <v>24550.83</v>
      </c>
      <c r="H22" s="36">
        <f t="shared" si="21"/>
        <v>19722.7</v>
      </c>
      <c r="I22" s="36">
        <f t="shared" si="21"/>
        <v>8334</v>
      </c>
      <c r="J22" s="36">
        <f t="shared" si="21"/>
        <v>21135</v>
      </c>
      <c r="K22" s="36">
        <f t="shared" si="21"/>
        <v>18669</v>
      </c>
      <c r="L22" s="36">
        <f t="shared" si="21"/>
        <v>445</v>
      </c>
      <c r="M22" s="36">
        <f t="shared" si="21"/>
        <v>0</v>
      </c>
      <c r="N22" s="36">
        <f t="shared" si="21"/>
        <v>0</v>
      </c>
      <c r="O22" s="36">
        <f t="shared" si="21"/>
        <v>0</v>
      </c>
      <c r="P22" s="36">
        <f t="shared" si="21"/>
        <v>19114</v>
      </c>
      <c r="Q22" s="36">
        <f t="shared" si="21"/>
        <v>1991.92</v>
      </c>
      <c r="R22" s="37">
        <f>IFERROR(Q22/$P22,0)</f>
        <v>0.10421261902270587</v>
      </c>
      <c r="S22" s="36">
        <f>S29+S130+S139+S156</f>
        <v>0</v>
      </c>
      <c r="T22" s="37">
        <f>IFERROR(S22/$P22,0)</f>
        <v>0</v>
      </c>
      <c r="U22" s="36">
        <f>U29+U130+U139+U156</f>
        <v>0</v>
      </c>
      <c r="V22" s="37">
        <f>IFERROR(U22/$P22,0)</f>
        <v>0</v>
      </c>
      <c r="W22" s="36">
        <f>W29+W130+W139+W156</f>
        <v>0</v>
      </c>
      <c r="X22" s="37">
        <f>IFERROR(W22/$P22,0)</f>
        <v>0</v>
      </c>
      <c r="Y22" s="36">
        <f>Y29+Y130+Y139+Y156</f>
        <v>16169</v>
      </c>
      <c r="Z22" s="36">
        <f>Z29+Z130+Z139+Z156</f>
        <v>13669</v>
      </c>
    </row>
    <row r="23" spans="1:26" ht="13.9" customHeight="1" x14ac:dyDescent="0.25">
      <c r="A23" s="15">
        <v>1</v>
      </c>
      <c r="D23" s="6"/>
      <c r="E23" s="35">
        <v>41</v>
      </c>
      <c r="F23" s="35" t="s">
        <v>23</v>
      </c>
      <c r="G23" s="36">
        <f t="shared" ref="G23:Q23" si="22">G30+G133+G143</f>
        <v>286839.79000000004</v>
      </c>
      <c r="H23" s="36">
        <f t="shared" si="22"/>
        <v>333272.43000000005</v>
      </c>
      <c r="I23" s="36">
        <f t="shared" si="22"/>
        <v>367242</v>
      </c>
      <c r="J23" s="36">
        <f t="shared" si="22"/>
        <v>376479</v>
      </c>
      <c r="K23" s="36">
        <f t="shared" si="22"/>
        <v>406665</v>
      </c>
      <c r="L23" s="36">
        <f t="shared" si="22"/>
        <v>397</v>
      </c>
      <c r="M23" s="36">
        <f t="shared" si="22"/>
        <v>0</v>
      </c>
      <c r="N23" s="36">
        <f t="shared" si="22"/>
        <v>0</v>
      </c>
      <c r="O23" s="36">
        <f t="shared" si="22"/>
        <v>0</v>
      </c>
      <c r="P23" s="36">
        <f t="shared" si="22"/>
        <v>407062</v>
      </c>
      <c r="Q23" s="36">
        <f t="shared" si="22"/>
        <v>76260.569999999978</v>
      </c>
      <c r="R23" s="37">
        <f>IFERROR(Q23/$P23,0)</f>
        <v>0.18734386899292976</v>
      </c>
      <c r="S23" s="36">
        <f>S30+S133+S143</f>
        <v>0</v>
      </c>
      <c r="T23" s="37">
        <f>IFERROR(S23/$P23,0)</f>
        <v>0</v>
      </c>
      <c r="U23" s="36">
        <f>U30+U133+U143</f>
        <v>0</v>
      </c>
      <c r="V23" s="37">
        <f>IFERROR(U23/$P23,0)</f>
        <v>0</v>
      </c>
      <c r="W23" s="36">
        <f>W30+W133+W143</f>
        <v>0</v>
      </c>
      <c r="X23" s="37">
        <f>IFERROR(W23/$P23,0)</f>
        <v>0</v>
      </c>
      <c r="Y23" s="36">
        <f>Y30+Y133+Y143</f>
        <v>388104</v>
      </c>
      <c r="Z23" s="36">
        <f>Z30+Z133+Z143</f>
        <v>408678</v>
      </c>
    </row>
    <row r="24" spans="1:26" ht="13.9" customHeight="1" x14ac:dyDescent="0.25">
      <c r="A24" s="15">
        <v>1</v>
      </c>
      <c r="D24" s="6"/>
      <c r="E24" s="35">
        <v>72</v>
      </c>
      <c r="F24" s="35" t="s">
        <v>25</v>
      </c>
      <c r="G24" s="36">
        <f t="shared" ref="G24:Q24" si="23">G31</f>
        <v>1184.8699999999999</v>
      </c>
      <c r="H24" s="36">
        <f t="shared" si="23"/>
        <v>1198.3699999999999</v>
      </c>
      <c r="I24" s="36">
        <f t="shared" si="23"/>
        <v>1405</v>
      </c>
      <c r="J24" s="36">
        <f t="shared" si="23"/>
        <v>1539</v>
      </c>
      <c r="K24" s="36">
        <f t="shared" si="23"/>
        <v>1311</v>
      </c>
      <c r="L24" s="36">
        <f t="shared" si="23"/>
        <v>0</v>
      </c>
      <c r="M24" s="36">
        <f t="shared" si="23"/>
        <v>0</v>
      </c>
      <c r="N24" s="36">
        <f t="shared" si="23"/>
        <v>0</v>
      </c>
      <c r="O24" s="36">
        <f t="shared" si="23"/>
        <v>0</v>
      </c>
      <c r="P24" s="36">
        <f t="shared" si="23"/>
        <v>1311</v>
      </c>
      <c r="Q24" s="36">
        <f t="shared" si="23"/>
        <v>7.03</v>
      </c>
      <c r="R24" s="37">
        <f>IFERROR(Q24/$P24,0)</f>
        <v>5.3623188405797105E-3</v>
      </c>
      <c r="S24" s="36">
        <f>S31</f>
        <v>0</v>
      </c>
      <c r="T24" s="37">
        <f>IFERROR(S24/$P24,0)</f>
        <v>0</v>
      </c>
      <c r="U24" s="36">
        <f>U31</f>
        <v>0</v>
      </c>
      <c r="V24" s="37">
        <f>IFERROR(U24/$P24,0)</f>
        <v>0</v>
      </c>
      <c r="W24" s="36">
        <f>W31</f>
        <v>0</v>
      </c>
      <c r="X24" s="37">
        <f>IFERROR(W24/$P24,0)</f>
        <v>0</v>
      </c>
      <c r="Y24" s="36">
        <f>Y31</f>
        <v>1311</v>
      </c>
      <c r="Z24" s="36">
        <f>Z31</f>
        <v>1311</v>
      </c>
    </row>
    <row r="25" spans="1:26" ht="13.9" customHeight="1" x14ac:dyDescent="0.25">
      <c r="A25" s="15">
        <v>1</v>
      </c>
      <c r="D25" s="30"/>
      <c r="E25" s="31"/>
      <c r="F25" s="38" t="s">
        <v>122</v>
      </c>
      <c r="G25" s="39">
        <f t="shared" ref="G25:Q25" si="24">SUM(G22:G24)</f>
        <v>312575.49000000005</v>
      </c>
      <c r="H25" s="39">
        <f t="shared" si="24"/>
        <v>354193.50000000006</v>
      </c>
      <c r="I25" s="39">
        <f t="shared" si="24"/>
        <v>376981</v>
      </c>
      <c r="J25" s="39">
        <f t="shared" si="24"/>
        <v>399153</v>
      </c>
      <c r="K25" s="39">
        <f t="shared" si="24"/>
        <v>426645</v>
      </c>
      <c r="L25" s="39">
        <f t="shared" si="24"/>
        <v>842</v>
      </c>
      <c r="M25" s="39">
        <f t="shared" si="24"/>
        <v>0</v>
      </c>
      <c r="N25" s="39">
        <f t="shared" si="24"/>
        <v>0</v>
      </c>
      <c r="O25" s="39">
        <f t="shared" si="24"/>
        <v>0</v>
      </c>
      <c r="P25" s="39">
        <f t="shared" si="24"/>
        <v>427487</v>
      </c>
      <c r="Q25" s="39">
        <f t="shared" si="24"/>
        <v>78259.519999999975</v>
      </c>
      <c r="R25" s="40">
        <f>IFERROR(Q25/$P25,0)</f>
        <v>0.18306877168194582</v>
      </c>
      <c r="S25" s="39">
        <f>SUM(S22:S24)</f>
        <v>0</v>
      </c>
      <c r="T25" s="40">
        <f>IFERROR(S25/$P25,0)</f>
        <v>0</v>
      </c>
      <c r="U25" s="39">
        <f>SUM(U22:U24)</f>
        <v>0</v>
      </c>
      <c r="V25" s="40">
        <f>IFERROR(U25/$P25,0)</f>
        <v>0</v>
      </c>
      <c r="W25" s="39">
        <f>SUM(W22:W24)</f>
        <v>0</v>
      </c>
      <c r="X25" s="40">
        <f>IFERROR(W25/$P25,0)</f>
        <v>0</v>
      </c>
      <c r="Y25" s="39">
        <f>SUM(Y22:Y24)</f>
        <v>405584</v>
      </c>
      <c r="Z25" s="39">
        <f>SUM(Z22:Z24)</f>
        <v>423658</v>
      </c>
    </row>
    <row r="27" spans="1:26" ht="13.9" customHeight="1" x14ac:dyDescent="0.25">
      <c r="D27" s="5" t="s">
        <v>124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9" customHeight="1" x14ac:dyDescent="0.25">
      <c r="D28" s="21"/>
      <c r="E28" s="21"/>
      <c r="F28" s="21"/>
      <c r="G28" s="21" t="s">
        <v>1</v>
      </c>
      <c r="H28" s="21" t="s">
        <v>2</v>
      </c>
      <c r="I28" s="21" t="s">
        <v>3</v>
      </c>
      <c r="J28" s="21" t="s">
        <v>4</v>
      </c>
      <c r="K28" s="21" t="s">
        <v>5</v>
      </c>
      <c r="L28" s="21" t="s">
        <v>6</v>
      </c>
      <c r="M28" s="21" t="s">
        <v>7</v>
      </c>
      <c r="N28" s="21" t="s">
        <v>8</v>
      </c>
      <c r="O28" s="21" t="s">
        <v>9</v>
      </c>
      <c r="P28" s="21" t="s">
        <v>10</v>
      </c>
      <c r="Q28" s="21" t="s">
        <v>11</v>
      </c>
      <c r="R28" s="22" t="s">
        <v>12</v>
      </c>
      <c r="S28" s="21" t="s">
        <v>13</v>
      </c>
      <c r="T28" s="22" t="s">
        <v>14</v>
      </c>
      <c r="U28" s="21" t="s">
        <v>15</v>
      </c>
      <c r="V28" s="22" t="s">
        <v>16</v>
      </c>
      <c r="W28" s="21" t="s">
        <v>17</v>
      </c>
      <c r="X28" s="22" t="s">
        <v>18</v>
      </c>
      <c r="Y28" s="21" t="s">
        <v>19</v>
      </c>
      <c r="Z28" s="21" t="s">
        <v>20</v>
      </c>
    </row>
    <row r="29" spans="1:26" ht="13.9" customHeight="1" x14ac:dyDescent="0.25">
      <c r="A29" s="15">
        <v>1</v>
      </c>
      <c r="B29" s="15">
        <v>1</v>
      </c>
      <c r="D29" s="13" t="s">
        <v>21</v>
      </c>
      <c r="E29" s="24">
        <v>111</v>
      </c>
      <c r="F29" s="24" t="s">
        <v>45</v>
      </c>
      <c r="G29" s="25">
        <f t="shared" ref="G29:Q29" si="25">G49+G72+G90+G117</f>
        <v>14841.88</v>
      </c>
      <c r="H29" s="25">
        <f t="shared" si="25"/>
        <v>11940.52</v>
      </c>
      <c r="I29" s="25">
        <f t="shared" si="25"/>
        <v>8195</v>
      </c>
      <c r="J29" s="25">
        <f t="shared" si="25"/>
        <v>15735</v>
      </c>
      <c r="K29" s="25">
        <f t="shared" si="25"/>
        <v>8269</v>
      </c>
      <c r="L29" s="25">
        <f t="shared" si="25"/>
        <v>445</v>
      </c>
      <c r="M29" s="25">
        <f t="shared" si="25"/>
        <v>0</v>
      </c>
      <c r="N29" s="25">
        <f t="shared" si="25"/>
        <v>0</v>
      </c>
      <c r="O29" s="25">
        <f t="shared" si="25"/>
        <v>0</v>
      </c>
      <c r="P29" s="25">
        <f t="shared" si="25"/>
        <v>8714</v>
      </c>
      <c r="Q29" s="25">
        <f t="shared" si="25"/>
        <v>1991.92</v>
      </c>
      <c r="R29" s="26">
        <f>IFERROR(Q29/$P29,0)</f>
        <v>0.22858847831076429</v>
      </c>
      <c r="S29" s="25">
        <f>S49+S72+S90+S117</f>
        <v>0</v>
      </c>
      <c r="T29" s="26">
        <f>IFERROR(S29/$P29,0)</f>
        <v>0</v>
      </c>
      <c r="U29" s="25">
        <f>U49+U72+U90+U117</f>
        <v>0</v>
      </c>
      <c r="V29" s="26">
        <f>IFERROR(U29/$P29,0)</f>
        <v>0</v>
      </c>
      <c r="W29" s="25">
        <f>W49+W72+W90+W117</f>
        <v>0</v>
      </c>
      <c r="X29" s="26">
        <f>IFERROR(W29/$P29,0)</f>
        <v>0</v>
      </c>
      <c r="Y29" s="25">
        <f>Y49+Y72+Y90+Y117</f>
        <v>8269</v>
      </c>
      <c r="Z29" s="25">
        <f>Z49+Z72+Z90+Z117</f>
        <v>8269</v>
      </c>
    </row>
    <row r="30" spans="1:26" ht="13.9" customHeight="1" x14ac:dyDescent="0.25">
      <c r="A30" s="15">
        <v>1</v>
      </c>
      <c r="B30" s="15">
        <v>1</v>
      </c>
      <c r="D30" s="13"/>
      <c r="E30" s="24">
        <v>41</v>
      </c>
      <c r="F30" s="24" t="s">
        <v>23</v>
      </c>
      <c r="G30" s="25">
        <f t="shared" ref="G30:Q30" si="26">G40+G54+G64+G76+G95+G109+G122</f>
        <v>275698.64</v>
      </c>
      <c r="H30" s="25">
        <f t="shared" si="26"/>
        <v>314207.54000000004</v>
      </c>
      <c r="I30" s="25">
        <f t="shared" si="26"/>
        <v>335985</v>
      </c>
      <c r="J30" s="25">
        <f t="shared" si="26"/>
        <v>339635</v>
      </c>
      <c r="K30" s="25">
        <f t="shared" si="26"/>
        <v>371774</v>
      </c>
      <c r="L30" s="25">
        <f t="shared" si="26"/>
        <v>0</v>
      </c>
      <c r="M30" s="25">
        <f t="shared" si="26"/>
        <v>0</v>
      </c>
      <c r="N30" s="25">
        <f t="shared" si="26"/>
        <v>0</v>
      </c>
      <c r="O30" s="25">
        <f t="shared" si="26"/>
        <v>0</v>
      </c>
      <c r="P30" s="25">
        <f t="shared" si="26"/>
        <v>371774</v>
      </c>
      <c r="Q30" s="25">
        <f t="shared" si="26"/>
        <v>70380.449999999983</v>
      </c>
      <c r="R30" s="26">
        <f>IFERROR(Q30/$P30,0)</f>
        <v>0.18930976883805747</v>
      </c>
      <c r="S30" s="25">
        <f>S40+S54+S64+S76+S95+S109+S122</f>
        <v>0</v>
      </c>
      <c r="T30" s="26">
        <f>IFERROR(S30/$P30,0)</f>
        <v>0</v>
      </c>
      <c r="U30" s="25">
        <f>U40+U54+U64+U76+U95+U109+U122</f>
        <v>0</v>
      </c>
      <c r="V30" s="26">
        <f>IFERROR(U30/$P30,0)</f>
        <v>0</v>
      </c>
      <c r="W30" s="25">
        <f>W40+W54+W64+W76+W95+W109+W122</f>
        <v>0</v>
      </c>
      <c r="X30" s="26">
        <f>IFERROR(W30/$P30,0)</f>
        <v>0</v>
      </c>
      <c r="Y30" s="25">
        <f>Y40+Y54+Y64+Y76+Y95+Y109+Y122</f>
        <v>353213</v>
      </c>
      <c r="Z30" s="25">
        <f>Z40+Z54+Z64+Z76+Z95+Z109+Z122</f>
        <v>373787</v>
      </c>
    </row>
    <row r="31" spans="1:26" ht="13.9" customHeight="1" x14ac:dyDescent="0.25">
      <c r="A31" s="15">
        <v>1</v>
      </c>
      <c r="B31" s="15">
        <v>1</v>
      </c>
      <c r="D31" s="13"/>
      <c r="E31" s="24">
        <v>72</v>
      </c>
      <c r="F31" s="24" t="s">
        <v>25</v>
      </c>
      <c r="G31" s="25">
        <f t="shared" ref="G31:Q31" si="27">G42+G56+G66+G97+G124</f>
        <v>1184.8699999999999</v>
      </c>
      <c r="H31" s="25">
        <f t="shared" si="27"/>
        <v>1198.3699999999999</v>
      </c>
      <c r="I31" s="25">
        <f t="shared" si="27"/>
        <v>1405</v>
      </c>
      <c r="J31" s="25">
        <f t="shared" si="27"/>
        <v>1539</v>
      </c>
      <c r="K31" s="25">
        <f t="shared" si="27"/>
        <v>1311</v>
      </c>
      <c r="L31" s="25">
        <f t="shared" si="27"/>
        <v>0</v>
      </c>
      <c r="M31" s="25">
        <f t="shared" si="27"/>
        <v>0</v>
      </c>
      <c r="N31" s="25">
        <f t="shared" si="27"/>
        <v>0</v>
      </c>
      <c r="O31" s="25">
        <f t="shared" si="27"/>
        <v>0</v>
      </c>
      <c r="P31" s="25">
        <f t="shared" si="27"/>
        <v>1311</v>
      </c>
      <c r="Q31" s="25">
        <f t="shared" si="27"/>
        <v>7.03</v>
      </c>
      <c r="R31" s="26">
        <f>IFERROR(Q31/$P31,0)</f>
        <v>5.3623188405797105E-3</v>
      </c>
      <c r="S31" s="25">
        <f>S42+S56+S66+S97+S124</f>
        <v>0</v>
      </c>
      <c r="T31" s="26">
        <f>IFERROR(S31/$P31,0)</f>
        <v>0</v>
      </c>
      <c r="U31" s="25">
        <f>U42+U56+U66+U97+U124</f>
        <v>0</v>
      </c>
      <c r="V31" s="26">
        <f>IFERROR(U31/$P31,0)</f>
        <v>0</v>
      </c>
      <c r="W31" s="25">
        <f>W42+W56+W66+W97+W124</f>
        <v>0</v>
      </c>
      <c r="X31" s="26">
        <f>IFERROR(W31/$P31,0)</f>
        <v>0</v>
      </c>
      <c r="Y31" s="25">
        <f>Y42+Y56+Y66+Y97+Y124</f>
        <v>1311</v>
      </c>
      <c r="Z31" s="25">
        <f>Z42+Z56+Z66+Z97+Z124</f>
        <v>1311</v>
      </c>
    </row>
    <row r="32" spans="1:26" ht="13.9" customHeight="1" x14ac:dyDescent="0.25">
      <c r="A32" s="15">
        <v>1</v>
      </c>
      <c r="B32" s="15">
        <v>1</v>
      </c>
      <c r="D32" s="30"/>
      <c r="E32" s="31"/>
      <c r="F32" s="27" t="s">
        <v>122</v>
      </c>
      <c r="G32" s="28">
        <f t="shared" ref="G32:Q32" si="28">SUM(G29:G31)</f>
        <v>291725.39</v>
      </c>
      <c r="H32" s="28">
        <f t="shared" si="28"/>
        <v>327346.43000000005</v>
      </c>
      <c r="I32" s="28">
        <f t="shared" si="28"/>
        <v>345585</v>
      </c>
      <c r="J32" s="28">
        <f t="shared" si="28"/>
        <v>356909</v>
      </c>
      <c r="K32" s="28">
        <f t="shared" si="28"/>
        <v>381354</v>
      </c>
      <c r="L32" s="28">
        <f t="shared" si="28"/>
        <v>445</v>
      </c>
      <c r="M32" s="28">
        <f t="shared" si="28"/>
        <v>0</v>
      </c>
      <c r="N32" s="28">
        <f t="shared" si="28"/>
        <v>0</v>
      </c>
      <c r="O32" s="28">
        <f t="shared" si="28"/>
        <v>0</v>
      </c>
      <c r="P32" s="28">
        <f t="shared" si="28"/>
        <v>381799</v>
      </c>
      <c r="Q32" s="28">
        <f t="shared" si="28"/>
        <v>72379.39999999998</v>
      </c>
      <c r="R32" s="29">
        <f>IFERROR(Q32/$P32,0)</f>
        <v>0.18957461910586454</v>
      </c>
      <c r="S32" s="28">
        <f>SUM(S29:S31)</f>
        <v>0</v>
      </c>
      <c r="T32" s="29">
        <f>IFERROR(S32/$P32,0)</f>
        <v>0</v>
      </c>
      <c r="U32" s="28">
        <f>SUM(U29:U31)</f>
        <v>0</v>
      </c>
      <c r="V32" s="29">
        <f>IFERROR(U32/$P32,0)</f>
        <v>0</v>
      </c>
      <c r="W32" s="28">
        <f>SUM(W29:W31)</f>
        <v>0</v>
      </c>
      <c r="X32" s="29">
        <f>IFERROR(W32/$P32,0)</f>
        <v>0</v>
      </c>
      <c r="Y32" s="28">
        <f>SUM(Y29:Y31)</f>
        <v>362793</v>
      </c>
      <c r="Z32" s="28">
        <f>SUM(Z29:Z31)</f>
        <v>383367</v>
      </c>
    </row>
    <row r="34" spans="1:26" ht="13.9" customHeight="1" x14ac:dyDescent="0.25">
      <c r="D34" s="4" t="s">
        <v>125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9" customHeight="1" x14ac:dyDescent="0.25">
      <c r="D35" s="21" t="s">
        <v>32</v>
      </c>
      <c r="E35" s="21" t="s">
        <v>33</v>
      </c>
      <c r="F35" s="21" t="s">
        <v>34</v>
      </c>
      <c r="G35" s="21" t="s">
        <v>1</v>
      </c>
      <c r="H35" s="21" t="s">
        <v>2</v>
      </c>
      <c r="I35" s="21" t="s">
        <v>3</v>
      </c>
      <c r="J35" s="21" t="s">
        <v>4</v>
      </c>
      <c r="K35" s="21" t="s">
        <v>5</v>
      </c>
      <c r="L35" s="21" t="s">
        <v>6</v>
      </c>
      <c r="M35" s="21" t="s">
        <v>7</v>
      </c>
      <c r="N35" s="21" t="s">
        <v>8</v>
      </c>
      <c r="O35" s="21" t="s">
        <v>9</v>
      </c>
      <c r="P35" s="21" t="s">
        <v>10</v>
      </c>
      <c r="Q35" s="21" t="s">
        <v>11</v>
      </c>
      <c r="R35" s="22" t="s">
        <v>12</v>
      </c>
      <c r="S35" s="21" t="s">
        <v>13</v>
      </c>
      <c r="T35" s="22" t="s">
        <v>14</v>
      </c>
      <c r="U35" s="21" t="s">
        <v>15</v>
      </c>
      <c r="V35" s="22" t="s">
        <v>16</v>
      </c>
      <c r="W35" s="21" t="s">
        <v>17</v>
      </c>
      <c r="X35" s="22" t="s">
        <v>18</v>
      </c>
      <c r="Y35" s="21" t="s">
        <v>19</v>
      </c>
      <c r="Z35" s="21" t="s">
        <v>20</v>
      </c>
    </row>
    <row r="36" spans="1:26" ht="13.9" customHeight="1" x14ac:dyDescent="0.25">
      <c r="A36" s="15">
        <v>1</v>
      </c>
      <c r="B36" s="15">
        <v>1</v>
      </c>
      <c r="C36" s="15">
        <v>1</v>
      </c>
      <c r="D36" s="3" t="s">
        <v>126</v>
      </c>
      <c r="E36" s="24">
        <v>610</v>
      </c>
      <c r="F36" s="24" t="s">
        <v>127</v>
      </c>
      <c r="G36" s="45">
        <v>56165.73</v>
      </c>
      <c r="H36" s="45">
        <v>61480.24</v>
      </c>
      <c r="I36" s="45">
        <v>67739</v>
      </c>
      <c r="J36" s="45">
        <v>65619</v>
      </c>
      <c r="K36" s="45">
        <v>71466</v>
      </c>
      <c r="L36" s="45"/>
      <c r="M36" s="45"/>
      <c r="N36" s="45"/>
      <c r="O36" s="45"/>
      <c r="P36" s="45">
        <f>K36+SUM(L36:O36)</f>
        <v>71466</v>
      </c>
      <c r="Q36" s="45">
        <v>17206.32</v>
      </c>
      <c r="R36" s="46">
        <f t="shared" ref="R36:R43" si="29">IFERROR(Q36/$P36,0)</f>
        <v>0.24076232054403493</v>
      </c>
      <c r="S36" s="45"/>
      <c r="T36" s="46">
        <f t="shared" ref="T36:T43" si="30">IFERROR(S36/$P36,0)</f>
        <v>0</v>
      </c>
      <c r="U36" s="45"/>
      <c r="V36" s="46">
        <f t="shared" ref="V36:V43" si="31">IFERROR(U36/$P36,0)</f>
        <v>0</v>
      </c>
      <c r="W36" s="45"/>
      <c r="X36" s="46">
        <f t="shared" ref="X36:X43" si="32">IFERROR(W36/$P36,0)</f>
        <v>0</v>
      </c>
      <c r="Y36" s="25">
        <v>78613</v>
      </c>
      <c r="Z36" s="25">
        <v>86474</v>
      </c>
    </row>
    <row r="37" spans="1:26" ht="13.9" customHeight="1" x14ac:dyDescent="0.25">
      <c r="A37" s="15">
        <v>1</v>
      </c>
      <c r="B37" s="15">
        <v>1</v>
      </c>
      <c r="C37" s="15">
        <v>1</v>
      </c>
      <c r="D37" s="3"/>
      <c r="E37" s="24">
        <v>620</v>
      </c>
      <c r="F37" s="24" t="s">
        <v>128</v>
      </c>
      <c r="G37" s="25">
        <v>23483.96</v>
      </c>
      <c r="H37" s="25">
        <v>28515.09</v>
      </c>
      <c r="I37" s="25">
        <v>31513</v>
      </c>
      <c r="J37" s="25">
        <v>29974</v>
      </c>
      <c r="K37" s="25">
        <v>39843</v>
      </c>
      <c r="L37" s="25"/>
      <c r="M37" s="25"/>
      <c r="N37" s="25"/>
      <c r="O37" s="25"/>
      <c r="P37" s="25">
        <f>K37+SUM(L37:O37)</f>
        <v>39843</v>
      </c>
      <c r="Q37" s="25">
        <v>9174.2000000000007</v>
      </c>
      <c r="R37" s="26">
        <f t="shared" si="29"/>
        <v>0.23025876565519668</v>
      </c>
      <c r="S37" s="25"/>
      <c r="T37" s="26">
        <f t="shared" si="30"/>
        <v>0</v>
      </c>
      <c r="U37" s="25"/>
      <c r="V37" s="26">
        <f t="shared" si="31"/>
        <v>0</v>
      </c>
      <c r="W37" s="25"/>
      <c r="X37" s="26">
        <f t="shared" si="32"/>
        <v>0</v>
      </c>
      <c r="Y37" s="25">
        <v>36160</v>
      </c>
      <c r="Z37" s="25">
        <v>39486</v>
      </c>
    </row>
    <row r="38" spans="1:26" ht="13.9" customHeight="1" x14ac:dyDescent="0.25">
      <c r="A38" s="15">
        <v>1</v>
      </c>
      <c r="B38" s="15">
        <v>1</v>
      </c>
      <c r="C38" s="15">
        <v>1</v>
      </c>
      <c r="D38" s="3"/>
      <c r="E38" s="24">
        <v>630</v>
      </c>
      <c r="F38" s="24" t="s">
        <v>129</v>
      </c>
      <c r="G38" s="45">
        <v>10925.91</v>
      </c>
      <c r="H38" s="45">
        <v>18723.29</v>
      </c>
      <c r="I38" s="45">
        <v>19660</v>
      </c>
      <c r="J38" s="45">
        <v>20374</v>
      </c>
      <c r="K38" s="45">
        <f>18826+2700</f>
        <v>21526</v>
      </c>
      <c r="L38" s="45"/>
      <c r="M38" s="45"/>
      <c r="N38" s="45"/>
      <c r="O38" s="45"/>
      <c r="P38" s="45">
        <f>K38+SUM(L38:O38)</f>
        <v>21526</v>
      </c>
      <c r="Q38" s="45">
        <v>9367.0400000000009</v>
      </c>
      <c r="R38" s="46">
        <f t="shared" si="29"/>
        <v>0.4351500511009942</v>
      </c>
      <c r="S38" s="45"/>
      <c r="T38" s="46">
        <f t="shared" si="30"/>
        <v>0</v>
      </c>
      <c r="U38" s="45"/>
      <c r="V38" s="46">
        <f t="shared" si="31"/>
        <v>0</v>
      </c>
      <c r="W38" s="45"/>
      <c r="X38" s="46">
        <f t="shared" si="32"/>
        <v>0</v>
      </c>
      <c r="Y38" s="25">
        <f>19932+2700</f>
        <v>22632</v>
      </c>
      <c r="Z38" s="25">
        <f>21152+2700</f>
        <v>23852</v>
      </c>
    </row>
    <row r="39" spans="1:26" ht="13.9" customHeight="1" x14ac:dyDescent="0.25">
      <c r="A39" s="15">
        <v>1</v>
      </c>
      <c r="B39" s="15">
        <v>1</v>
      </c>
      <c r="C39" s="15">
        <v>1</v>
      </c>
      <c r="D39" s="3"/>
      <c r="E39" s="24">
        <v>640</v>
      </c>
      <c r="F39" s="24" t="s">
        <v>130</v>
      </c>
      <c r="G39" s="45">
        <v>90.83</v>
      </c>
      <c r="H39" s="45">
        <v>0</v>
      </c>
      <c r="I39" s="45">
        <v>0</v>
      </c>
      <c r="J39" s="45">
        <v>0</v>
      </c>
      <c r="K39" s="45">
        <v>29980</v>
      </c>
      <c r="L39" s="45"/>
      <c r="M39" s="45"/>
      <c r="N39" s="45"/>
      <c r="O39" s="45"/>
      <c r="P39" s="45">
        <f>K39+SUM(L39:O39)</f>
        <v>29980</v>
      </c>
      <c r="Q39" s="45">
        <v>0</v>
      </c>
      <c r="R39" s="46">
        <f t="shared" si="29"/>
        <v>0</v>
      </c>
      <c r="S39" s="45"/>
      <c r="T39" s="46">
        <f t="shared" si="30"/>
        <v>0</v>
      </c>
      <c r="U39" s="45"/>
      <c r="V39" s="46">
        <f t="shared" si="31"/>
        <v>0</v>
      </c>
      <c r="W39" s="45"/>
      <c r="X39" s="46">
        <f t="shared" si="32"/>
        <v>0</v>
      </c>
      <c r="Y39" s="25">
        <v>0</v>
      </c>
      <c r="Z39" s="25">
        <v>0</v>
      </c>
    </row>
    <row r="40" spans="1:26" ht="13.9" customHeight="1" x14ac:dyDescent="0.25">
      <c r="A40" s="15">
        <v>1</v>
      </c>
      <c r="B40" s="15">
        <v>1</v>
      </c>
      <c r="C40" s="15">
        <v>1</v>
      </c>
      <c r="D40" s="79" t="s">
        <v>21</v>
      </c>
      <c r="E40" s="47">
        <v>41</v>
      </c>
      <c r="F40" s="47" t="s">
        <v>23</v>
      </c>
      <c r="G40" s="48">
        <f t="shared" ref="G40:Q40" si="33">SUM(G36:G39)</f>
        <v>90666.430000000008</v>
      </c>
      <c r="H40" s="48">
        <f t="shared" si="33"/>
        <v>108718.62</v>
      </c>
      <c r="I40" s="48">
        <f t="shared" si="33"/>
        <v>118912</v>
      </c>
      <c r="J40" s="48">
        <f t="shared" si="33"/>
        <v>115967</v>
      </c>
      <c r="K40" s="48">
        <f t="shared" si="33"/>
        <v>162815</v>
      </c>
      <c r="L40" s="48">
        <f t="shared" si="33"/>
        <v>0</v>
      </c>
      <c r="M40" s="48">
        <f t="shared" si="33"/>
        <v>0</v>
      </c>
      <c r="N40" s="48">
        <f t="shared" si="33"/>
        <v>0</v>
      </c>
      <c r="O40" s="48">
        <f t="shared" si="33"/>
        <v>0</v>
      </c>
      <c r="P40" s="48">
        <f t="shared" si="33"/>
        <v>162815</v>
      </c>
      <c r="Q40" s="48">
        <f t="shared" si="33"/>
        <v>35747.56</v>
      </c>
      <c r="R40" s="49">
        <f t="shared" si="29"/>
        <v>0.21955937720725976</v>
      </c>
      <c r="S40" s="48">
        <f>SUM(S36:S39)</f>
        <v>0</v>
      </c>
      <c r="T40" s="49">
        <f t="shared" si="30"/>
        <v>0</v>
      </c>
      <c r="U40" s="48">
        <f>SUM(U36:U39)</f>
        <v>0</v>
      </c>
      <c r="V40" s="49">
        <f t="shared" si="31"/>
        <v>0</v>
      </c>
      <c r="W40" s="48">
        <f>SUM(W36:W39)</f>
        <v>0</v>
      </c>
      <c r="X40" s="49">
        <f t="shared" si="32"/>
        <v>0</v>
      </c>
      <c r="Y40" s="48">
        <f>SUM(Y36:Y39)</f>
        <v>137405</v>
      </c>
      <c r="Z40" s="48">
        <f>SUM(Z36:Z39)</f>
        <v>149812</v>
      </c>
    </row>
    <row r="41" spans="1:26" ht="13.9" customHeight="1" x14ac:dyDescent="0.25">
      <c r="A41" s="15">
        <v>1</v>
      </c>
      <c r="B41" s="15">
        <v>1</v>
      </c>
      <c r="C41" s="15">
        <v>1</v>
      </c>
      <c r="D41" s="24" t="s">
        <v>126</v>
      </c>
      <c r="E41" s="24">
        <v>640</v>
      </c>
      <c r="F41" s="24" t="s">
        <v>130</v>
      </c>
      <c r="G41" s="25">
        <v>171.74</v>
      </c>
      <c r="H41" s="25">
        <v>163.76</v>
      </c>
      <c r="I41" s="25">
        <v>179</v>
      </c>
      <c r="J41" s="25">
        <v>208</v>
      </c>
      <c r="K41" s="25">
        <v>172</v>
      </c>
      <c r="L41" s="25"/>
      <c r="M41" s="25"/>
      <c r="N41" s="25"/>
      <c r="O41" s="25"/>
      <c r="P41" s="25">
        <f>K41+SUM(L41:O41)</f>
        <v>172</v>
      </c>
      <c r="Q41" s="25">
        <v>0</v>
      </c>
      <c r="R41" s="26">
        <f t="shared" si="29"/>
        <v>0</v>
      </c>
      <c r="S41" s="25"/>
      <c r="T41" s="26">
        <f t="shared" si="30"/>
        <v>0</v>
      </c>
      <c r="U41" s="25"/>
      <c r="V41" s="26">
        <f t="shared" si="31"/>
        <v>0</v>
      </c>
      <c r="W41" s="25"/>
      <c r="X41" s="26">
        <f t="shared" si="32"/>
        <v>0</v>
      </c>
      <c r="Y41" s="25">
        <f>K41</f>
        <v>172</v>
      </c>
      <c r="Z41" s="25">
        <f>Y41</f>
        <v>172</v>
      </c>
    </row>
    <row r="42" spans="1:26" ht="13.9" customHeight="1" x14ac:dyDescent="0.25">
      <c r="A42" s="15">
        <v>1</v>
      </c>
      <c r="B42" s="15">
        <v>1</v>
      </c>
      <c r="C42" s="15">
        <v>1</v>
      </c>
      <c r="D42" s="79" t="s">
        <v>21</v>
      </c>
      <c r="E42" s="85">
        <v>72</v>
      </c>
      <c r="F42" s="47" t="s">
        <v>25</v>
      </c>
      <c r="G42" s="48">
        <f t="shared" ref="G42:Q42" si="34">SUM(G41)</f>
        <v>171.74</v>
      </c>
      <c r="H42" s="48">
        <f t="shared" si="34"/>
        <v>163.76</v>
      </c>
      <c r="I42" s="48">
        <f t="shared" si="34"/>
        <v>179</v>
      </c>
      <c r="J42" s="48">
        <f t="shared" si="34"/>
        <v>208</v>
      </c>
      <c r="K42" s="48">
        <f t="shared" si="34"/>
        <v>172</v>
      </c>
      <c r="L42" s="48">
        <f t="shared" si="34"/>
        <v>0</v>
      </c>
      <c r="M42" s="48">
        <f t="shared" si="34"/>
        <v>0</v>
      </c>
      <c r="N42" s="48">
        <f t="shared" si="34"/>
        <v>0</v>
      </c>
      <c r="O42" s="48">
        <f t="shared" si="34"/>
        <v>0</v>
      </c>
      <c r="P42" s="48">
        <f t="shared" si="34"/>
        <v>172</v>
      </c>
      <c r="Q42" s="48">
        <f t="shared" si="34"/>
        <v>0</v>
      </c>
      <c r="R42" s="49">
        <f t="shared" si="29"/>
        <v>0</v>
      </c>
      <c r="S42" s="48">
        <f>SUM(S41)</f>
        <v>0</v>
      </c>
      <c r="T42" s="49">
        <f t="shared" si="30"/>
        <v>0</v>
      </c>
      <c r="U42" s="48">
        <f>SUM(U41)</f>
        <v>0</v>
      </c>
      <c r="V42" s="49">
        <f t="shared" si="31"/>
        <v>0</v>
      </c>
      <c r="W42" s="48">
        <f>SUM(W41)</f>
        <v>0</v>
      </c>
      <c r="X42" s="49">
        <f t="shared" si="32"/>
        <v>0</v>
      </c>
      <c r="Y42" s="48">
        <f>SUM(Y41)</f>
        <v>172</v>
      </c>
      <c r="Z42" s="48">
        <f>SUM(Z41)</f>
        <v>172</v>
      </c>
    </row>
    <row r="43" spans="1:26" ht="13.9" customHeight="1" x14ac:dyDescent="0.25">
      <c r="A43" s="15">
        <v>1</v>
      </c>
      <c r="B43" s="15">
        <v>1</v>
      </c>
      <c r="C43" s="15">
        <v>1</v>
      </c>
      <c r="D43" s="86"/>
      <c r="E43" s="87"/>
      <c r="F43" s="27" t="s">
        <v>122</v>
      </c>
      <c r="G43" s="28">
        <f t="shared" ref="G43:Q43" si="35">G40+G42</f>
        <v>90838.170000000013</v>
      </c>
      <c r="H43" s="28">
        <f t="shared" si="35"/>
        <v>108882.37999999999</v>
      </c>
      <c r="I43" s="28">
        <f t="shared" si="35"/>
        <v>119091</v>
      </c>
      <c r="J43" s="28">
        <f t="shared" si="35"/>
        <v>116175</v>
      </c>
      <c r="K43" s="28">
        <f t="shared" si="35"/>
        <v>162987</v>
      </c>
      <c r="L43" s="28">
        <f t="shared" si="35"/>
        <v>0</v>
      </c>
      <c r="M43" s="28">
        <f t="shared" si="35"/>
        <v>0</v>
      </c>
      <c r="N43" s="28">
        <f t="shared" si="35"/>
        <v>0</v>
      </c>
      <c r="O43" s="28">
        <f t="shared" si="35"/>
        <v>0</v>
      </c>
      <c r="P43" s="28">
        <f t="shared" si="35"/>
        <v>162987</v>
      </c>
      <c r="Q43" s="28">
        <f t="shared" si="35"/>
        <v>35747.56</v>
      </c>
      <c r="R43" s="29">
        <f t="shared" si="29"/>
        <v>0.21932767644045228</v>
      </c>
      <c r="S43" s="28">
        <f>S40+S42</f>
        <v>0</v>
      </c>
      <c r="T43" s="29">
        <f t="shared" si="30"/>
        <v>0</v>
      </c>
      <c r="U43" s="28">
        <f>U40+U42</f>
        <v>0</v>
      </c>
      <c r="V43" s="29">
        <f t="shared" si="31"/>
        <v>0</v>
      </c>
      <c r="W43" s="28">
        <f>W40+W42</f>
        <v>0</v>
      </c>
      <c r="X43" s="29">
        <f t="shared" si="32"/>
        <v>0</v>
      </c>
      <c r="Y43" s="28">
        <f>Y40+Y42</f>
        <v>137577</v>
      </c>
      <c r="Z43" s="28">
        <f>Z40+Z42</f>
        <v>149984</v>
      </c>
    </row>
    <row r="44" spans="1:26" ht="13.9" customHeight="1" x14ac:dyDescent="0.25">
      <c r="D44" s="88"/>
      <c r="E44" s="44"/>
      <c r="F44" s="44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/>
      <c r="S44" s="89"/>
      <c r="T44" s="90"/>
      <c r="U44" s="89"/>
      <c r="V44" s="90"/>
      <c r="W44" s="89"/>
      <c r="X44" s="90"/>
      <c r="Y44" s="89"/>
      <c r="Z44" s="89"/>
    </row>
    <row r="45" spans="1:26" ht="13.9" customHeight="1" x14ac:dyDescent="0.25">
      <c r="D45" s="4" t="s">
        <v>131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9" customHeight="1" x14ac:dyDescent="0.25">
      <c r="D46" s="21" t="s">
        <v>32</v>
      </c>
      <c r="E46" s="21" t="s">
        <v>33</v>
      </c>
      <c r="F46" s="21" t="s">
        <v>34</v>
      </c>
      <c r="G46" s="21" t="s">
        <v>1</v>
      </c>
      <c r="H46" s="21" t="s">
        <v>2</v>
      </c>
      <c r="I46" s="21" t="s">
        <v>3</v>
      </c>
      <c r="J46" s="21" t="s">
        <v>4</v>
      </c>
      <c r="K46" s="21" t="s">
        <v>5</v>
      </c>
      <c r="L46" s="21" t="s">
        <v>6</v>
      </c>
      <c r="M46" s="21" t="s">
        <v>7</v>
      </c>
      <c r="N46" s="21" t="s">
        <v>8</v>
      </c>
      <c r="O46" s="21" t="s">
        <v>9</v>
      </c>
      <c r="P46" s="21" t="s">
        <v>10</v>
      </c>
      <c r="Q46" s="21" t="s">
        <v>11</v>
      </c>
      <c r="R46" s="22" t="s">
        <v>12</v>
      </c>
      <c r="S46" s="21" t="s">
        <v>13</v>
      </c>
      <c r="T46" s="22" t="s">
        <v>14</v>
      </c>
      <c r="U46" s="21" t="s">
        <v>15</v>
      </c>
      <c r="V46" s="22" t="s">
        <v>16</v>
      </c>
      <c r="W46" s="21" t="s">
        <v>17</v>
      </c>
      <c r="X46" s="22" t="s">
        <v>18</v>
      </c>
      <c r="Y46" s="21" t="s">
        <v>19</v>
      </c>
      <c r="Z46" s="21" t="s">
        <v>20</v>
      </c>
    </row>
    <row r="47" spans="1:26" ht="13.9" customHeight="1" x14ac:dyDescent="0.25">
      <c r="A47" s="15">
        <v>1</v>
      </c>
      <c r="B47" s="15">
        <v>1</v>
      </c>
      <c r="C47" s="15">
        <v>2</v>
      </c>
      <c r="D47" s="13" t="s">
        <v>126</v>
      </c>
      <c r="E47" s="24">
        <v>610</v>
      </c>
      <c r="F47" s="24" t="s">
        <v>127</v>
      </c>
      <c r="G47" s="25">
        <v>352.33</v>
      </c>
      <c r="H47" s="25">
        <v>389.57</v>
      </c>
      <c r="I47" s="25">
        <v>390</v>
      </c>
      <c r="J47" s="25">
        <v>4420</v>
      </c>
      <c r="K47" s="25">
        <f>príjmy!H101</f>
        <v>420</v>
      </c>
      <c r="L47" s="25">
        <v>30</v>
      </c>
      <c r="M47" s="25"/>
      <c r="N47" s="25"/>
      <c r="O47" s="25"/>
      <c r="P47" s="25">
        <f>K47+SUM(L47:O47)</f>
        <v>450</v>
      </c>
      <c r="Q47" s="25">
        <v>0</v>
      </c>
      <c r="R47" s="26">
        <f t="shared" ref="R47:R57" si="36">IFERROR(Q47/$P47,0)</f>
        <v>0</v>
      </c>
      <c r="S47" s="25"/>
      <c r="T47" s="26">
        <f t="shared" ref="T47:T57" si="37">IFERROR(S47/$P47,0)</f>
        <v>0</v>
      </c>
      <c r="U47" s="25"/>
      <c r="V47" s="26">
        <f t="shared" ref="V47:V57" si="38">IFERROR(U47/$P47,0)</f>
        <v>0</v>
      </c>
      <c r="W47" s="25"/>
      <c r="X47" s="26">
        <f t="shared" ref="X47:X57" si="39">IFERROR(W47/$P47,0)</f>
        <v>0</v>
      </c>
      <c r="Y47" s="25">
        <f>príjmy!V101</f>
        <v>420</v>
      </c>
      <c r="Z47" s="25">
        <f>príjmy!W101</f>
        <v>420</v>
      </c>
    </row>
    <row r="48" spans="1:26" ht="13.9" hidden="1" customHeight="1" x14ac:dyDescent="0.25">
      <c r="A48" s="15">
        <v>1</v>
      </c>
      <c r="B48" s="15">
        <v>1</v>
      </c>
      <c r="C48" s="15">
        <v>2</v>
      </c>
      <c r="D48" s="13"/>
      <c r="E48" s="24">
        <v>620</v>
      </c>
      <c r="F48" s="24" t="s">
        <v>128</v>
      </c>
      <c r="G48" s="25">
        <v>0</v>
      </c>
      <c r="H48" s="25">
        <v>0</v>
      </c>
      <c r="I48" s="25">
        <v>0</v>
      </c>
      <c r="J48" s="25">
        <v>1438</v>
      </c>
      <c r="K48" s="25">
        <v>0</v>
      </c>
      <c r="L48" s="25"/>
      <c r="M48" s="25"/>
      <c r="N48" s="25"/>
      <c r="O48" s="25"/>
      <c r="P48" s="25">
        <f>K48+SUM(L48:O48)</f>
        <v>0</v>
      </c>
      <c r="Q48" s="25">
        <v>0</v>
      </c>
      <c r="R48" s="26">
        <f t="shared" si="36"/>
        <v>0</v>
      </c>
      <c r="S48" s="25"/>
      <c r="T48" s="26">
        <f t="shared" si="37"/>
        <v>0</v>
      </c>
      <c r="U48" s="25"/>
      <c r="V48" s="26">
        <f t="shared" si="38"/>
        <v>0</v>
      </c>
      <c r="W48" s="25"/>
      <c r="X48" s="26">
        <f t="shared" si="39"/>
        <v>0</v>
      </c>
      <c r="Y48" s="25">
        <v>0</v>
      </c>
      <c r="Z48" s="25">
        <v>0</v>
      </c>
    </row>
    <row r="49" spans="1:26" ht="13.9" customHeight="1" x14ac:dyDescent="0.25">
      <c r="A49" s="15">
        <v>1</v>
      </c>
      <c r="B49" s="15">
        <v>1</v>
      </c>
      <c r="C49" s="15">
        <v>2</v>
      </c>
      <c r="D49" s="79" t="s">
        <v>21</v>
      </c>
      <c r="E49" s="47">
        <v>111</v>
      </c>
      <c r="F49" s="47" t="s">
        <v>132</v>
      </c>
      <c r="G49" s="48">
        <f t="shared" ref="G49:Q49" si="40">SUM(G47:G48)</f>
        <v>352.33</v>
      </c>
      <c r="H49" s="48">
        <f t="shared" si="40"/>
        <v>389.57</v>
      </c>
      <c r="I49" s="48">
        <f t="shared" si="40"/>
        <v>390</v>
      </c>
      <c r="J49" s="48">
        <f t="shared" si="40"/>
        <v>5858</v>
      </c>
      <c r="K49" s="48">
        <f t="shared" si="40"/>
        <v>420</v>
      </c>
      <c r="L49" s="48">
        <f t="shared" si="40"/>
        <v>30</v>
      </c>
      <c r="M49" s="48">
        <f t="shared" si="40"/>
        <v>0</v>
      </c>
      <c r="N49" s="48">
        <f t="shared" si="40"/>
        <v>0</v>
      </c>
      <c r="O49" s="48">
        <f t="shared" si="40"/>
        <v>0</v>
      </c>
      <c r="P49" s="48">
        <f t="shared" si="40"/>
        <v>450</v>
      </c>
      <c r="Q49" s="48">
        <f t="shared" si="40"/>
        <v>0</v>
      </c>
      <c r="R49" s="49">
        <f t="shared" si="36"/>
        <v>0</v>
      </c>
      <c r="S49" s="48">
        <f>SUM(S47:S48)</f>
        <v>0</v>
      </c>
      <c r="T49" s="49">
        <f t="shared" si="37"/>
        <v>0</v>
      </c>
      <c r="U49" s="48">
        <f>SUM(U47:U48)</f>
        <v>0</v>
      </c>
      <c r="V49" s="49">
        <f t="shared" si="38"/>
        <v>0</v>
      </c>
      <c r="W49" s="48">
        <f>SUM(W47:W48)</f>
        <v>0</v>
      </c>
      <c r="X49" s="49">
        <f t="shared" si="39"/>
        <v>0</v>
      </c>
      <c r="Y49" s="48">
        <f>SUM(Y47:Y48)</f>
        <v>420</v>
      </c>
      <c r="Z49" s="48">
        <f>SUM(Z47:Z48)</f>
        <v>420</v>
      </c>
    </row>
    <row r="50" spans="1:26" ht="13.9" customHeight="1" x14ac:dyDescent="0.25">
      <c r="A50" s="15">
        <v>1</v>
      </c>
      <c r="B50" s="15">
        <v>1</v>
      </c>
      <c r="C50" s="15">
        <v>2</v>
      </c>
      <c r="D50" s="3" t="s">
        <v>126</v>
      </c>
      <c r="E50" s="24">
        <v>610</v>
      </c>
      <c r="F50" s="24" t="s">
        <v>127</v>
      </c>
      <c r="G50" s="45">
        <v>69536.92</v>
      </c>
      <c r="H50" s="45">
        <v>79326.23</v>
      </c>
      <c r="I50" s="45">
        <v>86469</v>
      </c>
      <c r="J50" s="45">
        <v>80196</v>
      </c>
      <c r="K50" s="45">
        <f>82297-K47</f>
        <v>81877</v>
      </c>
      <c r="L50" s="45">
        <v>-265</v>
      </c>
      <c r="M50" s="45"/>
      <c r="N50" s="45"/>
      <c r="O50" s="45"/>
      <c r="P50" s="45">
        <f>K50+SUM(L50:O50)</f>
        <v>81612</v>
      </c>
      <c r="Q50" s="45">
        <v>10681.65</v>
      </c>
      <c r="R50" s="46">
        <f t="shared" si="36"/>
        <v>0.13088332598147331</v>
      </c>
      <c r="S50" s="45"/>
      <c r="T50" s="46">
        <f t="shared" si="37"/>
        <v>0</v>
      </c>
      <c r="U50" s="45"/>
      <c r="V50" s="46">
        <f t="shared" si="38"/>
        <v>0</v>
      </c>
      <c r="W50" s="45"/>
      <c r="X50" s="46">
        <f t="shared" si="39"/>
        <v>0</v>
      </c>
      <c r="Y50" s="45">
        <f>86198-Y47</f>
        <v>85778</v>
      </c>
      <c r="Z50" s="45">
        <f>90294-Z47</f>
        <v>89874</v>
      </c>
    </row>
    <row r="51" spans="1:26" ht="13.9" customHeight="1" x14ac:dyDescent="0.25">
      <c r="A51" s="15">
        <v>1</v>
      </c>
      <c r="B51" s="15">
        <v>1</v>
      </c>
      <c r="C51" s="15">
        <v>2</v>
      </c>
      <c r="D51" s="3"/>
      <c r="E51" s="24">
        <v>620</v>
      </c>
      <c r="F51" s="24" t="s">
        <v>128</v>
      </c>
      <c r="G51" s="25">
        <v>25792.63</v>
      </c>
      <c r="H51" s="25">
        <v>30353.07</v>
      </c>
      <c r="I51" s="25">
        <v>32815</v>
      </c>
      <c r="J51" s="25">
        <v>30616</v>
      </c>
      <c r="K51" s="25">
        <v>31232</v>
      </c>
      <c r="L51" s="25"/>
      <c r="M51" s="25"/>
      <c r="N51" s="25"/>
      <c r="O51" s="25"/>
      <c r="P51" s="25">
        <f>K51+SUM(L51:O51)</f>
        <v>31232</v>
      </c>
      <c r="Q51" s="25">
        <v>4096.46</v>
      </c>
      <c r="R51" s="26">
        <f t="shared" si="36"/>
        <v>0.13116226946721313</v>
      </c>
      <c r="S51" s="25"/>
      <c r="T51" s="26">
        <f t="shared" si="37"/>
        <v>0</v>
      </c>
      <c r="U51" s="25"/>
      <c r="V51" s="26">
        <f t="shared" si="38"/>
        <v>0</v>
      </c>
      <c r="W51" s="25"/>
      <c r="X51" s="26">
        <f t="shared" si="39"/>
        <v>0</v>
      </c>
      <c r="Y51" s="25">
        <v>32713</v>
      </c>
      <c r="Z51" s="25">
        <v>34267</v>
      </c>
    </row>
    <row r="52" spans="1:26" ht="13.9" customHeight="1" x14ac:dyDescent="0.25">
      <c r="A52" s="15">
        <v>1</v>
      </c>
      <c r="B52" s="15">
        <v>1</v>
      </c>
      <c r="C52" s="15">
        <v>2</v>
      </c>
      <c r="D52" s="3"/>
      <c r="E52" s="24">
        <v>630</v>
      </c>
      <c r="F52" s="24" t="s">
        <v>129</v>
      </c>
      <c r="G52" s="25">
        <v>7464.93</v>
      </c>
      <c r="H52" s="25">
        <v>8660.19</v>
      </c>
      <c r="I52" s="25">
        <v>9211</v>
      </c>
      <c r="J52" s="25">
        <v>8899</v>
      </c>
      <c r="K52" s="25">
        <f>8121+1050</f>
        <v>9171</v>
      </c>
      <c r="L52" s="25">
        <v>100</v>
      </c>
      <c r="M52" s="25"/>
      <c r="N52" s="25"/>
      <c r="O52" s="25"/>
      <c r="P52" s="25">
        <f>K52+SUM(L52:O52)</f>
        <v>9271</v>
      </c>
      <c r="Q52" s="25">
        <v>1479.72</v>
      </c>
      <c r="R52" s="26">
        <f t="shared" si="36"/>
        <v>0.15960737784489268</v>
      </c>
      <c r="S52" s="25"/>
      <c r="T52" s="26">
        <f t="shared" si="37"/>
        <v>0</v>
      </c>
      <c r="U52" s="25"/>
      <c r="V52" s="26">
        <f t="shared" si="38"/>
        <v>0</v>
      </c>
      <c r="W52" s="25"/>
      <c r="X52" s="26">
        <f t="shared" si="39"/>
        <v>0</v>
      </c>
      <c r="Y52" s="25">
        <f>7790+1050</f>
        <v>8840</v>
      </c>
      <c r="Z52" s="25">
        <f>8681+1050</f>
        <v>9731</v>
      </c>
    </row>
    <row r="53" spans="1:26" ht="13.9" customHeight="1" x14ac:dyDescent="0.25">
      <c r="A53" s="15">
        <v>1</v>
      </c>
      <c r="B53" s="15">
        <v>1</v>
      </c>
      <c r="C53" s="15">
        <v>2</v>
      </c>
      <c r="D53" s="3"/>
      <c r="E53" s="24">
        <v>640</v>
      </c>
      <c r="F53" s="24" t="s">
        <v>130</v>
      </c>
      <c r="G53" s="25">
        <v>134.83000000000001</v>
      </c>
      <c r="H53" s="25">
        <v>0</v>
      </c>
      <c r="I53" s="25">
        <v>0</v>
      </c>
      <c r="J53" s="25">
        <v>0</v>
      </c>
      <c r="K53" s="25">
        <v>0</v>
      </c>
      <c r="L53" s="25">
        <v>165</v>
      </c>
      <c r="M53" s="25"/>
      <c r="N53" s="25"/>
      <c r="O53" s="25"/>
      <c r="P53" s="25">
        <f>K53+SUM(L53:O53)</f>
        <v>165</v>
      </c>
      <c r="Q53" s="25">
        <v>165.15</v>
      </c>
      <c r="R53" s="26">
        <f t="shared" si="36"/>
        <v>1.000909090909091</v>
      </c>
      <c r="S53" s="25"/>
      <c r="T53" s="26">
        <f t="shared" si="37"/>
        <v>0</v>
      </c>
      <c r="U53" s="25"/>
      <c r="V53" s="26">
        <f t="shared" si="38"/>
        <v>0</v>
      </c>
      <c r="W53" s="25"/>
      <c r="X53" s="26">
        <f t="shared" si="39"/>
        <v>0</v>
      </c>
      <c r="Y53" s="25">
        <v>0</v>
      </c>
      <c r="Z53" s="25">
        <v>0</v>
      </c>
    </row>
    <row r="54" spans="1:26" ht="13.9" customHeight="1" x14ac:dyDescent="0.25">
      <c r="A54" s="15">
        <v>1</v>
      </c>
      <c r="B54" s="15">
        <v>1</v>
      </c>
      <c r="C54" s="15">
        <v>2</v>
      </c>
      <c r="D54" s="79" t="s">
        <v>21</v>
      </c>
      <c r="E54" s="47">
        <v>41</v>
      </c>
      <c r="F54" s="47" t="s">
        <v>23</v>
      </c>
      <c r="G54" s="48">
        <f t="shared" ref="G54:Q54" si="41">SUM(G50:G53)</f>
        <v>102929.31000000001</v>
      </c>
      <c r="H54" s="48">
        <f t="shared" si="41"/>
        <v>118339.48999999999</v>
      </c>
      <c r="I54" s="48">
        <f t="shared" si="41"/>
        <v>128495</v>
      </c>
      <c r="J54" s="48">
        <f t="shared" si="41"/>
        <v>119711</v>
      </c>
      <c r="K54" s="48">
        <f t="shared" si="41"/>
        <v>122280</v>
      </c>
      <c r="L54" s="48">
        <f t="shared" si="41"/>
        <v>0</v>
      </c>
      <c r="M54" s="48">
        <f t="shared" si="41"/>
        <v>0</v>
      </c>
      <c r="N54" s="48">
        <f t="shared" si="41"/>
        <v>0</v>
      </c>
      <c r="O54" s="48">
        <f t="shared" si="41"/>
        <v>0</v>
      </c>
      <c r="P54" s="48">
        <f t="shared" si="41"/>
        <v>122280</v>
      </c>
      <c r="Q54" s="48">
        <f t="shared" si="41"/>
        <v>16422.98</v>
      </c>
      <c r="R54" s="49">
        <f t="shared" si="36"/>
        <v>0.13430634609093883</v>
      </c>
      <c r="S54" s="48">
        <f>SUM(S50:S53)</f>
        <v>0</v>
      </c>
      <c r="T54" s="49">
        <f t="shared" si="37"/>
        <v>0</v>
      </c>
      <c r="U54" s="48">
        <f>SUM(U50:U53)</f>
        <v>0</v>
      </c>
      <c r="V54" s="49">
        <f t="shared" si="38"/>
        <v>0</v>
      </c>
      <c r="W54" s="48">
        <f>SUM(W50:W53)</f>
        <v>0</v>
      </c>
      <c r="X54" s="49">
        <f t="shared" si="39"/>
        <v>0</v>
      </c>
      <c r="Y54" s="48">
        <f>SUM(Y50:Y53)</f>
        <v>127331</v>
      </c>
      <c r="Z54" s="48">
        <f>SUM(Z50:Z53)</f>
        <v>133872</v>
      </c>
    </row>
    <row r="55" spans="1:26" ht="13.9" customHeight="1" x14ac:dyDescent="0.25">
      <c r="A55" s="15">
        <v>1</v>
      </c>
      <c r="B55" s="15">
        <v>1</v>
      </c>
      <c r="C55" s="15">
        <v>2</v>
      </c>
      <c r="D55" s="24" t="s">
        <v>126</v>
      </c>
      <c r="E55" s="24">
        <v>640</v>
      </c>
      <c r="F55" s="24" t="s">
        <v>130</v>
      </c>
      <c r="G55" s="25">
        <v>687.73</v>
      </c>
      <c r="H55" s="25">
        <v>717.43</v>
      </c>
      <c r="I55" s="25">
        <v>895</v>
      </c>
      <c r="J55" s="25">
        <v>1009</v>
      </c>
      <c r="K55" s="25">
        <v>859</v>
      </c>
      <c r="L55" s="25"/>
      <c r="M55" s="25"/>
      <c r="N55" s="25"/>
      <c r="O55" s="25"/>
      <c r="P55" s="25">
        <f>K55+SUM(L55:O55)</f>
        <v>859</v>
      </c>
      <c r="Q55" s="25">
        <v>7.03</v>
      </c>
      <c r="R55" s="26">
        <f t="shared" si="36"/>
        <v>8.1839348079161822E-3</v>
      </c>
      <c r="S55" s="25"/>
      <c r="T55" s="26">
        <f t="shared" si="37"/>
        <v>0</v>
      </c>
      <c r="U55" s="25"/>
      <c r="V55" s="26">
        <f t="shared" si="38"/>
        <v>0</v>
      </c>
      <c r="W55" s="25"/>
      <c r="X55" s="26">
        <f t="shared" si="39"/>
        <v>0</v>
      </c>
      <c r="Y55" s="25">
        <f>K55</f>
        <v>859</v>
      </c>
      <c r="Z55" s="25">
        <f>Y55</f>
        <v>859</v>
      </c>
    </row>
    <row r="56" spans="1:26" ht="13.9" customHeight="1" x14ac:dyDescent="0.25">
      <c r="A56" s="15">
        <v>1</v>
      </c>
      <c r="B56" s="15">
        <v>1</v>
      </c>
      <c r="C56" s="15">
        <v>2</v>
      </c>
      <c r="D56" s="79" t="s">
        <v>21</v>
      </c>
      <c r="E56" s="85">
        <v>72</v>
      </c>
      <c r="F56" s="47" t="s">
        <v>25</v>
      </c>
      <c r="G56" s="48">
        <f t="shared" ref="G56:Q56" si="42">SUM(G55)</f>
        <v>687.73</v>
      </c>
      <c r="H56" s="48">
        <f t="shared" si="42"/>
        <v>717.43</v>
      </c>
      <c r="I56" s="48">
        <f t="shared" si="42"/>
        <v>895</v>
      </c>
      <c r="J56" s="48">
        <f t="shared" si="42"/>
        <v>1009</v>
      </c>
      <c r="K56" s="48">
        <f t="shared" si="42"/>
        <v>859</v>
      </c>
      <c r="L56" s="48">
        <f t="shared" si="42"/>
        <v>0</v>
      </c>
      <c r="M56" s="48">
        <f t="shared" si="42"/>
        <v>0</v>
      </c>
      <c r="N56" s="48">
        <f t="shared" si="42"/>
        <v>0</v>
      </c>
      <c r="O56" s="48">
        <f t="shared" si="42"/>
        <v>0</v>
      </c>
      <c r="P56" s="48">
        <f t="shared" si="42"/>
        <v>859</v>
      </c>
      <c r="Q56" s="48">
        <f t="shared" si="42"/>
        <v>7.03</v>
      </c>
      <c r="R56" s="49">
        <f t="shared" si="36"/>
        <v>8.1839348079161822E-3</v>
      </c>
      <c r="S56" s="48">
        <f>SUM(S55)</f>
        <v>0</v>
      </c>
      <c r="T56" s="49">
        <f t="shared" si="37"/>
        <v>0</v>
      </c>
      <c r="U56" s="48">
        <f>SUM(U55)</f>
        <v>0</v>
      </c>
      <c r="V56" s="49">
        <f t="shared" si="38"/>
        <v>0</v>
      </c>
      <c r="W56" s="48">
        <f>SUM(W55)</f>
        <v>0</v>
      </c>
      <c r="X56" s="49">
        <f t="shared" si="39"/>
        <v>0</v>
      </c>
      <c r="Y56" s="48">
        <f>SUM(Y55)</f>
        <v>859</v>
      </c>
      <c r="Z56" s="48">
        <f>SUM(Z55)</f>
        <v>859</v>
      </c>
    </row>
    <row r="57" spans="1:26" ht="13.9" customHeight="1" x14ac:dyDescent="0.25">
      <c r="A57" s="15">
        <v>1</v>
      </c>
      <c r="B57" s="15">
        <v>1</v>
      </c>
      <c r="C57" s="15">
        <v>2</v>
      </c>
      <c r="D57" s="86"/>
      <c r="E57" s="87"/>
      <c r="F57" s="27" t="s">
        <v>122</v>
      </c>
      <c r="G57" s="28">
        <f t="shared" ref="G57:Q57" si="43">G49+G54+G56</f>
        <v>103969.37000000001</v>
      </c>
      <c r="H57" s="28">
        <f t="shared" si="43"/>
        <v>119446.48999999999</v>
      </c>
      <c r="I57" s="28">
        <f t="shared" si="43"/>
        <v>129780</v>
      </c>
      <c r="J57" s="28">
        <f t="shared" si="43"/>
        <v>126578</v>
      </c>
      <c r="K57" s="28">
        <f t="shared" si="43"/>
        <v>123559</v>
      </c>
      <c r="L57" s="28">
        <f t="shared" si="43"/>
        <v>30</v>
      </c>
      <c r="M57" s="28">
        <f t="shared" si="43"/>
        <v>0</v>
      </c>
      <c r="N57" s="28">
        <f t="shared" si="43"/>
        <v>0</v>
      </c>
      <c r="O57" s="28">
        <f t="shared" si="43"/>
        <v>0</v>
      </c>
      <c r="P57" s="28">
        <f t="shared" si="43"/>
        <v>123589</v>
      </c>
      <c r="Q57" s="28">
        <f t="shared" si="43"/>
        <v>16430.009999999998</v>
      </c>
      <c r="R57" s="29">
        <f t="shared" si="36"/>
        <v>0.13294071478853295</v>
      </c>
      <c r="S57" s="28">
        <f>S49+S54+S56</f>
        <v>0</v>
      </c>
      <c r="T57" s="29">
        <f t="shared" si="37"/>
        <v>0</v>
      </c>
      <c r="U57" s="28">
        <f>U49+U54+U56</f>
        <v>0</v>
      </c>
      <c r="V57" s="29">
        <f t="shared" si="38"/>
        <v>0</v>
      </c>
      <c r="W57" s="28">
        <f>W49+W54+W56</f>
        <v>0</v>
      </c>
      <c r="X57" s="29">
        <f t="shared" si="39"/>
        <v>0</v>
      </c>
      <c r="Y57" s="28">
        <f>Y49+Y54+Y56</f>
        <v>128610</v>
      </c>
      <c r="Z57" s="28">
        <f>Z49+Z54+Z56</f>
        <v>135151</v>
      </c>
    </row>
    <row r="58" spans="1:26" ht="13.9" customHeight="1" x14ac:dyDescent="0.25">
      <c r="D58" s="88"/>
      <c r="E58" s="44"/>
      <c r="F58" s="44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90"/>
      <c r="S58" s="89"/>
      <c r="T58" s="90"/>
      <c r="U58" s="89"/>
      <c r="V58" s="90"/>
      <c r="W58" s="89"/>
      <c r="X58" s="90"/>
      <c r="Y58" s="89"/>
      <c r="Z58" s="89"/>
    </row>
    <row r="59" spans="1:26" ht="13.9" customHeight="1" x14ac:dyDescent="0.25">
      <c r="D59" s="4" t="s">
        <v>133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9" customHeight="1" x14ac:dyDescent="0.25">
      <c r="D60" s="21" t="s">
        <v>32</v>
      </c>
      <c r="E60" s="21" t="s">
        <v>33</v>
      </c>
      <c r="F60" s="21" t="s">
        <v>34</v>
      </c>
      <c r="G60" s="21" t="s">
        <v>1</v>
      </c>
      <c r="H60" s="21" t="s">
        <v>2</v>
      </c>
      <c r="I60" s="21" t="s">
        <v>3</v>
      </c>
      <c r="J60" s="21" t="s">
        <v>4</v>
      </c>
      <c r="K60" s="21" t="s">
        <v>5</v>
      </c>
      <c r="L60" s="21" t="s">
        <v>6</v>
      </c>
      <c r="M60" s="21" t="s">
        <v>7</v>
      </c>
      <c r="N60" s="21" t="s">
        <v>8</v>
      </c>
      <c r="O60" s="21" t="s">
        <v>9</v>
      </c>
      <c r="P60" s="21" t="s">
        <v>10</v>
      </c>
      <c r="Q60" s="21" t="s">
        <v>11</v>
      </c>
      <c r="R60" s="22" t="s">
        <v>12</v>
      </c>
      <c r="S60" s="21" t="s">
        <v>13</v>
      </c>
      <c r="T60" s="22" t="s">
        <v>14</v>
      </c>
      <c r="U60" s="21" t="s">
        <v>15</v>
      </c>
      <c r="V60" s="22" t="s">
        <v>16</v>
      </c>
      <c r="W60" s="21" t="s">
        <v>17</v>
      </c>
      <c r="X60" s="22" t="s">
        <v>18</v>
      </c>
      <c r="Y60" s="21" t="s">
        <v>19</v>
      </c>
      <c r="Z60" s="21" t="s">
        <v>20</v>
      </c>
    </row>
    <row r="61" spans="1:26" ht="13.9" customHeight="1" x14ac:dyDescent="0.25">
      <c r="A61" s="15">
        <v>1</v>
      </c>
      <c r="B61" s="15">
        <v>1</v>
      </c>
      <c r="C61" s="15">
        <v>3</v>
      </c>
      <c r="D61" s="3" t="s">
        <v>134</v>
      </c>
      <c r="E61" s="24">
        <v>610</v>
      </c>
      <c r="F61" s="24" t="s">
        <v>127</v>
      </c>
      <c r="G61" s="45">
        <v>10461</v>
      </c>
      <c r="H61" s="45">
        <v>11448</v>
      </c>
      <c r="I61" s="25">
        <v>12589</v>
      </c>
      <c r="J61" s="25">
        <v>8652</v>
      </c>
      <c r="K61" s="25">
        <v>6653</v>
      </c>
      <c r="L61" s="25"/>
      <c r="M61" s="25"/>
      <c r="N61" s="25"/>
      <c r="O61" s="25"/>
      <c r="P61" s="45">
        <f>K61+SUM(L61:O61)</f>
        <v>6653</v>
      </c>
      <c r="Q61" s="45">
        <v>1603</v>
      </c>
      <c r="R61" s="46">
        <f t="shared" ref="R61:R67" si="44">IFERROR(Q61/$P61,0)</f>
        <v>0.2409439350668871</v>
      </c>
      <c r="S61" s="45"/>
      <c r="T61" s="46">
        <f t="shared" ref="T61:T67" si="45">IFERROR(S61/$P61,0)</f>
        <v>0</v>
      </c>
      <c r="U61" s="45"/>
      <c r="V61" s="46">
        <f t="shared" ref="V61:V67" si="46">IFERROR(U61/$P61,0)</f>
        <v>0</v>
      </c>
      <c r="W61" s="45"/>
      <c r="X61" s="46">
        <f t="shared" ref="X61:X67" si="47">IFERROR(W61/$P61,0)</f>
        <v>0</v>
      </c>
      <c r="Y61" s="25">
        <v>7318</v>
      </c>
      <c r="Z61" s="25">
        <v>7684</v>
      </c>
    </row>
    <row r="62" spans="1:26" ht="13.9" customHeight="1" x14ac:dyDescent="0.25">
      <c r="A62" s="15">
        <v>1</v>
      </c>
      <c r="B62" s="15">
        <v>1</v>
      </c>
      <c r="C62" s="15">
        <v>3</v>
      </c>
      <c r="D62" s="3"/>
      <c r="E62" s="24">
        <v>620</v>
      </c>
      <c r="F62" s="24" t="s">
        <v>128</v>
      </c>
      <c r="G62" s="45">
        <v>3289.72</v>
      </c>
      <c r="H62" s="45">
        <v>3705.81</v>
      </c>
      <c r="I62" s="25">
        <v>4085</v>
      </c>
      <c r="J62" s="25">
        <v>2807</v>
      </c>
      <c r="K62" s="25">
        <v>2158</v>
      </c>
      <c r="L62" s="25"/>
      <c r="M62" s="25"/>
      <c r="N62" s="25"/>
      <c r="O62" s="25"/>
      <c r="P62" s="45">
        <f>K62+SUM(L62:O62)</f>
        <v>2158</v>
      </c>
      <c r="Q62" s="45">
        <v>520.11</v>
      </c>
      <c r="R62" s="46">
        <f t="shared" si="44"/>
        <v>0.24101482854494904</v>
      </c>
      <c r="S62" s="45"/>
      <c r="T62" s="46">
        <f t="shared" si="45"/>
        <v>0</v>
      </c>
      <c r="U62" s="45"/>
      <c r="V62" s="46">
        <f t="shared" si="46"/>
        <v>0</v>
      </c>
      <c r="W62" s="45"/>
      <c r="X62" s="46">
        <f t="shared" si="47"/>
        <v>0</v>
      </c>
      <c r="Y62" s="25">
        <v>2376</v>
      </c>
      <c r="Z62" s="25">
        <v>2493</v>
      </c>
    </row>
    <row r="63" spans="1:26" ht="13.9" customHeight="1" x14ac:dyDescent="0.25">
      <c r="A63" s="15">
        <v>1</v>
      </c>
      <c r="B63" s="15">
        <v>1</v>
      </c>
      <c r="C63" s="15">
        <v>3</v>
      </c>
      <c r="D63" s="3"/>
      <c r="E63" s="24">
        <v>630</v>
      </c>
      <c r="F63" s="24" t="s">
        <v>129</v>
      </c>
      <c r="G63" s="45">
        <v>2065.62</v>
      </c>
      <c r="H63" s="45">
        <v>3060.54</v>
      </c>
      <c r="I63" s="25">
        <v>2835</v>
      </c>
      <c r="J63" s="25">
        <v>2872</v>
      </c>
      <c r="K63" s="25">
        <f>372+2466</f>
        <v>2838</v>
      </c>
      <c r="L63" s="25"/>
      <c r="M63" s="25"/>
      <c r="N63" s="25"/>
      <c r="O63" s="25"/>
      <c r="P63" s="45">
        <f>K63+SUM(L63:O63)</f>
        <v>2838</v>
      </c>
      <c r="Q63" s="45">
        <v>490.41</v>
      </c>
      <c r="R63" s="46">
        <f t="shared" si="44"/>
        <v>0.17280126849894292</v>
      </c>
      <c r="S63" s="45"/>
      <c r="T63" s="46">
        <f t="shared" si="45"/>
        <v>0</v>
      </c>
      <c r="U63" s="45"/>
      <c r="V63" s="46">
        <f t="shared" si="46"/>
        <v>0</v>
      </c>
      <c r="W63" s="45"/>
      <c r="X63" s="46">
        <f t="shared" si="47"/>
        <v>0</v>
      </c>
      <c r="Y63" s="25">
        <f>397+2466</f>
        <v>2863</v>
      </c>
      <c r="Z63" s="25">
        <f>447+2466</f>
        <v>2913</v>
      </c>
    </row>
    <row r="64" spans="1:26" ht="13.9" customHeight="1" x14ac:dyDescent="0.25">
      <c r="A64" s="15">
        <v>1</v>
      </c>
      <c r="B64" s="15">
        <v>1</v>
      </c>
      <c r="C64" s="15">
        <v>3</v>
      </c>
      <c r="D64" s="79" t="s">
        <v>21</v>
      </c>
      <c r="E64" s="47">
        <v>41</v>
      </c>
      <c r="F64" s="47" t="s">
        <v>23</v>
      </c>
      <c r="G64" s="48">
        <f t="shared" ref="G64:Q64" si="48">SUM(G61:G63)</f>
        <v>15816.34</v>
      </c>
      <c r="H64" s="48">
        <f t="shared" si="48"/>
        <v>18214.349999999999</v>
      </c>
      <c r="I64" s="48">
        <f t="shared" si="48"/>
        <v>19509</v>
      </c>
      <c r="J64" s="48">
        <f t="shared" si="48"/>
        <v>14331</v>
      </c>
      <c r="K64" s="48">
        <f t="shared" si="48"/>
        <v>11649</v>
      </c>
      <c r="L64" s="48">
        <f t="shared" si="48"/>
        <v>0</v>
      </c>
      <c r="M64" s="48">
        <f t="shared" si="48"/>
        <v>0</v>
      </c>
      <c r="N64" s="48">
        <f t="shared" si="48"/>
        <v>0</v>
      </c>
      <c r="O64" s="48">
        <f t="shared" si="48"/>
        <v>0</v>
      </c>
      <c r="P64" s="48">
        <f t="shared" si="48"/>
        <v>11649</v>
      </c>
      <c r="Q64" s="48">
        <f t="shared" si="48"/>
        <v>2613.52</v>
      </c>
      <c r="R64" s="49">
        <f t="shared" si="44"/>
        <v>0.22435573869001632</v>
      </c>
      <c r="S64" s="48">
        <f>SUM(S61:S63)</f>
        <v>0</v>
      </c>
      <c r="T64" s="49">
        <f t="shared" si="45"/>
        <v>0</v>
      </c>
      <c r="U64" s="48">
        <f>SUM(U61:U63)</f>
        <v>0</v>
      </c>
      <c r="V64" s="49">
        <f t="shared" si="46"/>
        <v>0</v>
      </c>
      <c r="W64" s="48">
        <f>SUM(W61:W63)</f>
        <v>0</v>
      </c>
      <c r="X64" s="49">
        <f t="shared" si="47"/>
        <v>0</v>
      </c>
      <c r="Y64" s="48">
        <f>SUM(Y61:Y63)</f>
        <v>12557</v>
      </c>
      <c r="Z64" s="48">
        <f>SUM(Z61:Z63)</f>
        <v>13090</v>
      </c>
    </row>
    <row r="65" spans="1:26" ht="13.9" customHeight="1" x14ac:dyDescent="0.25">
      <c r="A65" s="15">
        <v>2</v>
      </c>
      <c r="B65" s="15">
        <v>2</v>
      </c>
      <c r="C65" s="15">
        <v>4</v>
      </c>
      <c r="D65" s="91" t="s">
        <v>134</v>
      </c>
      <c r="E65" s="24">
        <v>640</v>
      </c>
      <c r="F65" s="24" t="s">
        <v>130</v>
      </c>
      <c r="G65" s="25">
        <v>61.14</v>
      </c>
      <c r="H65" s="25">
        <v>69.209999999999994</v>
      </c>
      <c r="I65" s="25">
        <v>76</v>
      </c>
      <c r="J65" s="25">
        <v>49</v>
      </c>
      <c r="K65" s="25">
        <v>36</v>
      </c>
      <c r="L65" s="25"/>
      <c r="M65" s="25"/>
      <c r="N65" s="25"/>
      <c r="O65" s="25"/>
      <c r="P65" s="25">
        <f>K65+SUM(L65:O65)</f>
        <v>36</v>
      </c>
      <c r="Q65" s="25">
        <v>0</v>
      </c>
      <c r="R65" s="26">
        <f t="shared" si="44"/>
        <v>0</v>
      </c>
      <c r="S65" s="25"/>
      <c r="T65" s="26">
        <f t="shared" si="45"/>
        <v>0</v>
      </c>
      <c r="U65" s="25"/>
      <c r="V65" s="26">
        <f t="shared" si="46"/>
        <v>0</v>
      </c>
      <c r="W65" s="25"/>
      <c r="X65" s="26">
        <f t="shared" si="47"/>
        <v>0</v>
      </c>
      <c r="Y65" s="25">
        <f>K65</f>
        <v>36</v>
      </c>
      <c r="Z65" s="25">
        <f>Y65</f>
        <v>36</v>
      </c>
    </row>
    <row r="66" spans="1:26" ht="13.9" customHeight="1" x14ac:dyDescent="0.25">
      <c r="A66" s="15">
        <v>3</v>
      </c>
      <c r="B66" s="15">
        <v>3</v>
      </c>
      <c r="C66" s="15">
        <v>5</v>
      </c>
      <c r="D66" s="79" t="s">
        <v>21</v>
      </c>
      <c r="E66" s="47">
        <v>72</v>
      </c>
      <c r="F66" s="47" t="s">
        <v>25</v>
      </c>
      <c r="G66" s="48">
        <f t="shared" ref="G66:Q66" si="49">SUM(G65)</f>
        <v>61.14</v>
      </c>
      <c r="H66" s="48">
        <f t="shared" si="49"/>
        <v>69.209999999999994</v>
      </c>
      <c r="I66" s="48">
        <f t="shared" si="49"/>
        <v>76</v>
      </c>
      <c r="J66" s="48">
        <f t="shared" si="49"/>
        <v>49</v>
      </c>
      <c r="K66" s="48">
        <f t="shared" si="49"/>
        <v>36</v>
      </c>
      <c r="L66" s="48">
        <f t="shared" si="49"/>
        <v>0</v>
      </c>
      <c r="M66" s="48">
        <f t="shared" si="49"/>
        <v>0</v>
      </c>
      <c r="N66" s="48">
        <f t="shared" si="49"/>
        <v>0</v>
      </c>
      <c r="O66" s="48">
        <f t="shared" si="49"/>
        <v>0</v>
      </c>
      <c r="P66" s="48">
        <f t="shared" si="49"/>
        <v>36</v>
      </c>
      <c r="Q66" s="48">
        <f t="shared" si="49"/>
        <v>0</v>
      </c>
      <c r="R66" s="49">
        <f t="shared" si="44"/>
        <v>0</v>
      </c>
      <c r="S66" s="48">
        <f>SUM(S65)</f>
        <v>0</v>
      </c>
      <c r="T66" s="49">
        <f t="shared" si="45"/>
        <v>0</v>
      </c>
      <c r="U66" s="48">
        <f>SUM(U65)</f>
        <v>0</v>
      </c>
      <c r="V66" s="49">
        <f t="shared" si="46"/>
        <v>0</v>
      </c>
      <c r="W66" s="48">
        <f>SUM(W65)</f>
        <v>0</v>
      </c>
      <c r="X66" s="49">
        <f t="shared" si="47"/>
        <v>0</v>
      </c>
      <c r="Y66" s="48">
        <f>SUM(Y65)</f>
        <v>36</v>
      </c>
      <c r="Z66" s="48">
        <f>SUM(Z65)</f>
        <v>36</v>
      </c>
    </row>
    <row r="67" spans="1:26" ht="13.9" customHeight="1" x14ac:dyDescent="0.25">
      <c r="A67" s="15">
        <v>4</v>
      </c>
      <c r="B67" s="15">
        <v>4</v>
      </c>
      <c r="C67" s="15">
        <v>6</v>
      </c>
      <c r="D67" s="86"/>
      <c r="E67" s="87"/>
      <c r="F67" s="27" t="s">
        <v>122</v>
      </c>
      <c r="G67" s="28">
        <f t="shared" ref="G67:Q67" si="50">G64+G66</f>
        <v>15877.48</v>
      </c>
      <c r="H67" s="28">
        <f t="shared" si="50"/>
        <v>18283.559999999998</v>
      </c>
      <c r="I67" s="28">
        <f t="shared" si="50"/>
        <v>19585</v>
      </c>
      <c r="J67" s="28">
        <f t="shared" si="50"/>
        <v>14380</v>
      </c>
      <c r="K67" s="28">
        <f t="shared" si="50"/>
        <v>11685</v>
      </c>
      <c r="L67" s="28">
        <f t="shared" si="50"/>
        <v>0</v>
      </c>
      <c r="M67" s="28">
        <f t="shared" si="50"/>
        <v>0</v>
      </c>
      <c r="N67" s="28">
        <f t="shared" si="50"/>
        <v>0</v>
      </c>
      <c r="O67" s="28">
        <f t="shared" si="50"/>
        <v>0</v>
      </c>
      <c r="P67" s="28">
        <f t="shared" si="50"/>
        <v>11685</v>
      </c>
      <c r="Q67" s="28">
        <f t="shared" si="50"/>
        <v>2613.52</v>
      </c>
      <c r="R67" s="29">
        <f t="shared" si="44"/>
        <v>0.2236645271715875</v>
      </c>
      <c r="S67" s="28">
        <f>S64+S66</f>
        <v>0</v>
      </c>
      <c r="T67" s="29">
        <f t="shared" si="45"/>
        <v>0</v>
      </c>
      <c r="U67" s="28">
        <f>U64+U66</f>
        <v>0</v>
      </c>
      <c r="V67" s="29">
        <f t="shared" si="46"/>
        <v>0</v>
      </c>
      <c r="W67" s="28">
        <f>W64+W66</f>
        <v>0</v>
      </c>
      <c r="X67" s="29">
        <f t="shared" si="47"/>
        <v>0</v>
      </c>
      <c r="Y67" s="28">
        <f>Y64+Y66</f>
        <v>12593</v>
      </c>
      <c r="Z67" s="28">
        <f>Z64+Z66</f>
        <v>13126</v>
      </c>
    </row>
    <row r="68" spans="1:26" ht="13.9" customHeight="1" x14ac:dyDescent="0.25">
      <c r="D68" s="88"/>
      <c r="E68" s="44"/>
      <c r="F68" s="44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90"/>
      <c r="S68" s="89"/>
      <c r="T68" s="90"/>
      <c r="U68" s="89"/>
      <c r="V68" s="90"/>
      <c r="W68" s="89"/>
      <c r="X68" s="90"/>
      <c r="Y68" s="89"/>
      <c r="Z68" s="89"/>
    </row>
    <row r="69" spans="1:26" ht="13.9" customHeight="1" x14ac:dyDescent="0.25">
      <c r="D69" s="4" t="s">
        <v>135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9" customHeight="1" x14ac:dyDescent="0.25">
      <c r="D70" s="21" t="s">
        <v>32</v>
      </c>
      <c r="E70" s="21" t="s">
        <v>33</v>
      </c>
      <c r="F70" s="21" t="s">
        <v>34</v>
      </c>
      <c r="G70" s="21" t="s">
        <v>1</v>
      </c>
      <c r="H70" s="21" t="s">
        <v>2</v>
      </c>
      <c r="I70" s="21" t="s">
        <v>3</v>
      </c>
      <c r="J70" s="21" t="s">
        <v>4</v>
      </c>
      <c r="K70" s="21" t="s">
        <v>5</v>
      </c>
      <c r="L70" s="21" t="s">
        <v>6</v>
      </c>
      <c r="M70" s="21" t="s">
        <v>7</v>
      </c>
      <c r="N70" s="21" t="s">
        <v>8</v>
      </c>
      <c r="O70" s="21" t="s">
        <v>9</v>
      </c>
      <c r="P70" s="21" t="s">
        <v>10</v>
      </c>
      <c r="Q70" s="21" t="s">
        <v>11</v>
      </c>
      <c r="R70" s="22" t="s">
        <v>12</v>
      </c>
      <c r="S70" s="21" t="s">
        <v>13</v>
      </c>
      <c r="T70" s="22" t="s">
        <v>14</v>
      </c>
      <c r="U70" s="21" t="s">
        <v>15</v>
      </c>
      <c r="V70" s="22" t="s">
        <v>16</v>
      </c>
      <c r="W70" s="21" t="s">
        <v>17</v>
      </c>
      <c r="X70" s="22" t="s">
        <v>18</v>
      </c>
      <c r="Y70" s="21" t="s">
        <v>19</v>
      </c>
      <c r="Z70" s="21" t="s">
        <v>20</v>
      </c>
    </row>
    <row r="71" spans="1:26" ht="13.9" customHeight="1" x14ac:dyDescent="0.25">
      <c r="A71" s="15">
        <v>1</v>
      </c>
      <c r="B71" s="15">
        <v>1</v>
      </c>
      <c r="C71" s="15">
        <v>4</v>
      </c>
      <c r="D71" s="50" t="s">
        <v>126</v>
      </c>
      <c r="E71" s="24">
        <v>630</v>
      </c>
      <c r="F71" s="24" t="s">
        <v>129</v>
      </c>
      <c r="G71" s="25">
        <v>0</v>
      </c>
      <c r="H71" s="25">
        <v>0</v>
      </c>
      <c r="I71" s="25">
        <v>0</v>
      </c>
      <c r="J71" s="25">
        <v>110</v>
      </c>
      <c r="K71" s="25">
        <v>0</v>
      </c>
      <c r="L71" s="25"/>
      <c r="M71" s="25"/>
      <c r="N71" s="25"/>
      <c r="O71" s="25"/>
      <c r="P71" s="25">
        <f>K71+SUM(L71:O71)</f>
        <v>0</v>
      </c>
      <c r="Q71" s="25">
        <v>0</v>
      </c>
      <c r="R71" s="26">
        <f t="shared" ref="R71:R77" si="51">IFERROR(Q71/$P71,0)</f>
        <v>0</v>
      </c>
      <c r="S71" s="25"/>
      <c r="T71" s="26">
        <f t="shared" ref="T71:T77" si="52">IFERROR(S71/$P71,0)</f>
        <v>0</v>
      </c>
      <c r="U71" s="25"/>
      <c r="V71" s="26">
        <f t="shared" ref="V71:V77" si="53">IFERROR(U71/$P71,0)</f>
        <v>0</v>
      </c>
      <c r="W71" s="25"/>
      <c r="X71" s="26">
        <f t="shared" ref="X71:X77" si="54">IFERROR(W71/$P71,0)</f>
        <v>0</v>
      </c>
      <c r="Y71" s="25">
        <f>K71</f>
        <v>0</v>
      </c>
      <c r="Z71" s="25">
        <f>Y71</f>
        <v>0</v>
      </c>
    </row>
    <row r="72" spans="1:26" ht="13.9" customHeight="1" x14ac:dyDescent="0.25">
      <c r="A72" s="15">
        <v>1</v>
      </c>
      <c r="B72" s="15">
        <v>1</v>
      </c>
      <c r="C72" s="15">
        <v>4</v>
      </c>
      <c r="D72" s="79" t="s">
        <v>21</v>
      </c>
      <c r="E72" s="47">
        <v>111</v>
      </c>
      <c r="F72" s="47" t="s">
        <v>132</v>
      </c>
      <c r="G72" s="48">
        <f t="shared" ref="G72:Q72" si="55">SUM(G69:G71)</f>
        <v>0</v>
      </c>
      <c r="H72" s="48">
        <f t="shared" si="55"/>
        <v>0</v>
      </c>
      <c r="I72" s="48">
        <f t="shared" si="55"/>
        <v>0</v>
      </c>
      <c r="J72" s="48">
        <f t="shared" si="55"/>
        <v>110</v>
      </c>
      <c r="K72" s="48">
        <f t="shared" si="55"/>
        <v>0</v>
      </c>
      <c r="L72" s="48">
        <f t="shared" si="55"/>
        <v>0</v>
      </c>
      <c r="M72" s="48">
        <f t="shared" si="55"/>
        <v>0</v>
      </c>
      <c r="N72" s="48">
        <f t="shared" si="55"/>
        <v>0</v>
      </c>
      <c r="O72" s="48">
        <f t="shared" si="55"/>
        <v>0</v>
      </c>
      <c r="P72" s="48">
        <f t="shared" si="55"/>
        <v>0</v>
      </c>
      <c r="Q72" s="48">
        <f t="shared" si="55"/>
        <v>0</v>
      </c>
      <c r="R72" s="49">
        <f t="shared" si="51"/>
        <v>0</v>
      </c>
      <c r="S72" s="48">
        <f>SUM(S69:S71)</f>
        <v>0</v>
      </c>
      <c r="T72" s="49">
        <f t="shared" si="52"/>
        <v>0</v>
      </c>
      <c r="U72" s="48">
        <f>SUM(U69:U71)</f>
        <v>0</v>
      </c>
      <c r="V72" s="49">
        <f t="shared" si="53"/>
        <v>0</v>
      </c>
      <c r="W72" s="48">
        <f>SUM(W69:W71)</f>
        <v>0</v>
      </c>
      <c r="X72" s="49">
        <f t="shared" si="54"/>
        <v>0</v>
      </c>
      <c r="Y72" s="48">
        <f>SUM(Y69:Y71)</f>
        <v>0</v>
      </c>
      <c r="Z72" s="48">
        <f>SUM(Z69:Z71)</f>
        <v>0</v>
      </c>
    </row>
    <row r="73" spans="1:26" ht="13.9" customHeight="1" x14ac:dyDescent="0.25">
      <c r="A73" s="15">
        <v>1</v>
      </c>
      <c r="B73" s="15">
        <v>1</v>
      </c>
      <c r="C73" s="15">
        <v>4</v>
      </c>
      <c r="D73" s="10" t="s">
        <v>126</v>
      </c>
      <c r="E73" s="24">
        <v>630</v>
      </c>
      <c r="F73" s="24" t="s">
        <v>129</v>
      </c>
      <c r="G73" s="25">
        <v>25459.84</v>
      </c>
      <c r="H73" s="25">
        <v>17311.439999999999</v>
      </c>
      <c r="I73" s="25">
        <v>24787</v>
      </c>
      <c r="J73" s="25">
        <v>40622</v>
      </c>
      <c r="K73" s="25">
        <v>26864</v>
      </c>
      <c r="L73" s="25"/>
      <c r="M73" s="25"/>
      <c r="N73" s="25"/>
      <c r="O73" s="25"/>
      <c r="P73" s="25">
        <f>K73+SUM(L73:O73)</f>
        <v>26864</v>
      </c>
      <c r="Q73" s="25">
        <v>4725.97</v>
      </c>
      <c r="R73" s="26">
        <f t="shared" si="51"/>
        <v>0.17592205181655748</v>
      </c>
      <c r="S73" s="25"/>
      <c r="T73" s="26">
        <f t="shared" si="52"/>
        <v>0</v>
      </c>
      <c r="U73" s="25"/>
      <c r="V73" s="26">
        <f t="shared" si="53"/>
        <v>0</v>
      </c>
      <c r="W73" s="25"/>
      <c r="X73" s="26">
        <f t="shared" si="54"/>
        <v>0</v>
      </c>
      <c r="Y73" s="25">
        <f>K73</f>
        <v>26864</v>
      </c>
      <c r="Z73" s="25">
        <f>Y73</f>
        <v>26864</v>
      </c>
    </row>
    <row r="74" spans="1:26" ht="13.9" customHeight="1" x14ac:dyDescent="0.25">
      <c r="A74" s="15">
        <v>1</v>
      </c>
      <c r="B74" s="15">
        <v>1</v>
      </c>
      <c r="C74" s="15">
        <v>4</v>
      </c>
      <c r="D74" s="10"/>
      <c r="E74" s="24">
        <v>640</v>
      </c>
      <c r="F74" s="24" t="s">
        <v>130</v>
      </c>
      <c r="G74" s="25">
        <v>258.8</v>
      </c>
      <c r="H74" s="25">
        <v>3791.55</v>
      </c>
      <c r="I74" s="25">
        <v>4031</v>
      </c>
      <c r="J74" s="25">
        <v>3770</v>
      </c>
      <c r="K74" s="25">
        <v>3770</v>
      </c>
      <c r="L74" s="25"/>
      <c r="M74" s="25"/>
      <c r="N74" s="25"/>
      <c r="O74" s="25"/>
      <c r="P74" s="25">
        <f>K74+SUM(L74:O74)</f>
        <v>3770</v>
      </c>
      <c r="Q74" s="25">
        <v>259.14999999999998</v>
      </c>
      <c r="R74" s="26">
        <f t="shared" si="51"/>
        <v>6.8740053050397876E-2</v>
      </c>
      <c r="S74" s="25"/>
      <c r="T74" s="26">
        <f t="shared" si="52"/>
        <v>0</v>
      </c>
      <c r="U74" s="25"/>
      <c r="V74" s="26">
        <f t="shared" si="53"/>
        <v>0</v>
      </c>
      <c r="W74" s="25"/>
      <c r="X74" s="26">
        <f t="shared" si="54"/>
        <v>0</v>
      </c>
      <c r="Y74" s="25">
        <f>K74</f>
        <v>3770</v>
      </c>
      <c r="Z74" s="25">
        <f>Y74</f>
        <v>3770</v>
      </c>
    </row>
    <row r="75" spans="1:26" ht="13.9" customHeight="1" x14ac:dyDescent="0.25">
      <c r="A75" s="15">
        <v>1</v>
      </c>
      <c r="B75" s="15">
        <v>1</v>
      </c>
      <c r="C75" s="15">
        <v>4</v>
      </c>
      <c r="D75" s="50" t="s">
        <v>134</v>
      </c>
      <c r="E75" s="24">
        <v>630</v>
      </c>
      <c r="F75" s="24" t="s">
        <v>136</v>
      </c>
      <c r="G75" s="25">
        <v>248.35</v>
      </c>
      <c r="H75" s="25">
        <v>312.93</v>
      </c>
      <c r="I75" s="25">
        <v>190</v>
      </c>
      <c r="J75" s="25">
        <v>491</v>
      </c>
      <c r="K75" s="25">
        <v>490</v>
      </c>
      <c r="L75" s="25"/>
      <c r="M75" s="25"/>
      <c r="N75" s="25"/>
      <c r="O75" s="25"/>
      <c r="P75" s="25">
        <f>K75+SUM(L75:O75)</f>
        <v>490</v>
      </c>
      <c r="Q75" s="25">
        <v>157.54</v>
      </c>
      <c r="R75" s="26">
        <f t="shared" si="51"/>
        <v>0.32151020408163261</v>
      </c>
      <c r="S75" s="25"/>
      <c r="T75" s="26">
        <f t="shared" si="52"/>
        <v>0</v>
      </c>
      <c r="U75" s="25"/>
      <c r="V75" s="26">
        <f t="shared" si="53"/>
        <v>0</v>
      </c>
      <c r="W75" s="25"/>
      <c r="X75" s="26">
        <f t="shared" si="54"/>
        <v>0</v>
      </c>
      <c r="Y75" s="25">
        <f>K75</f>
        <v>490</v>
      </c>
      <c r="Z75" s="25">
        <f>Y75</f>
        <v>490</v>
      </c>
    </row>
    <row r="76" spans="1:26" ht="13.9" customHeight="1" x14ac:dyDescent="0.25">
      <c r="A76" s="15">
        <v>1</v>
      </c>
      <c r="B76" s="15">
        <v>1</v>
      </c>
      <c r="C76" s="15">
        <v>4</v>
      </c>
      <c r="D76" s="79" t="s">
        <v>21</v>
      </c>
      <c r="E76" s="47">
        <v>41</v>
      </c>
      <c r="F76" s="47" t="s">
        <v>23</v>
      </c>
      <c r="G76" s="48">
        <f t="shared" ref="G76:Q76" si="56">SUM(G73:G75)</f>
        <v>25966.989999999998</v>
      </c>
      <c r="H76" s="48">
        <f t="shared" si="56"/>
        <v>21415.919999999998</v>
      </c>
      <c r="I76" s="48">
        <f t="shared" si="56"/>
        <v>29008</v>
      </c>
      <c r="J76" s="48">
        <f t="shared" si="56"/>
        <v>44883</v>
      </c>
      <c r="K76" s="48">
        <f t="shared" si="56"/>
        <v>31124</v>
      </c>
      <c r="L76" s="48">
        <f t="shared" si="56"/>
        <v>0</v>
      </c>
      <c r="M76" s="48">
        <f t="shared" si="56"/>
        <v>0</v>
      </c>
      <c r="N76" s="48">
        <f t="shared" si="56"/>
        <v>0</v>
      </c>
      <c r="O76" s="48">
        <f t="shared" si="56"/>
        <v>0</v>
      </c>
      <c r="P76" s="48">
        <f t="shared" si="56"/>
        <v>31124</v>
      </c>
      <c r="Q76" s="48">
        <f t="shared" si="56"/>
        <v>5142.66</v>
      </c>
      <c r="R76" s="49">
        <f t="shared" si="51"/>
        <v>0.16523133273358179</v>
      </c>
      <c r="S76" s="48">
        <f>SUM(S73:S75)</f>
        <v>0</v>
      </c>
      <c r="T76" s="49">
        <f t="shared" si="52"/>
        <v>0</v>
      </c>
      <c r="U76" s="48">
        <f>SUM(U73:U75)</f>
        <v>0</v>
      </c>
      <c r="V76" s="49">
        <f t="shared" si="53"/>
        <v>0</v>
      </c>
      <c r="W76" s="48">
        <f>SUM(W73:W75)</f>
        <v>0</v>
      </c>
      <c r="X76" s="49">
        <f t="shared" si="54"/>
        <v>0</v>
      </c>
      <c r="Y76" s="48">
        <f>SUM(Y73:Y75)</f>
        <v>31124</v>
      </c>
      <c r="Z76" s="48">
        <f>SUM(Z73:Z75)</f>
        <v>31124</v>
      </c>
    </row>
    <row r="77" spans="1:26" ht="13.9" customHeight="1" x14ac:dyDescent="0.25">
      <c r="A77" s="15">
        <v>1</v>
      </c>
      <c r="B77" s="15">
        <v>1</v>
      </c>
      <c r="C77" s="15">
        <v>4</v>
      </c>
      <c r="D77" s="86"/>
      <c r="E77" s="87"/>
      <c r="F77" s="27" t="s">
        <v>122</v>
      </c>
      <c r="G77" s="28">
        <f t="shared" ref="G77:Q77" si="57">G72+G76</f>
        <v>25966.989999999998</v>
      </c>
      <c r="H77" s="28">
        <f t="shared" si="57"/>
        <v>21415.919999999998</v>
      </c>
      <c r="I77" s="28">
        <f t="shared" si="57"/>
        <v>29008</v>
      </c>
      <c r="J77" s="28">
        <f t="shared" si="57"/>
        <v>44993</v>
      </c>
      <c r="K77" s="28">
        <f t="shared" si="57"/>
        <v>31124</v>
      </c>
      <c r="L77" s="28">
        <f t="shared" si="57"/>
        <v>0</v>
      </c>
      <c r="M77" s="28">
        <f t="shared" si="57"/>
        <v>0</v>
      </c>
      <c r="N77" s="28">
        <f t="shared" si="57"/>
        <v>0</v>
      </c>
      <c r="O77" s="28">
        <f t="shared" si="57"/>
        <v>0</v>
      </c>
      <c r="P77" s="28">
        <f t="shared" si="57"/>
        <v>31124</v>
      </c>
      <c r="Q77" s="28">
        <f t="shared" si="57"/>
        <v>5142.66</v>
      </c>
      <c r="R77" s="29">
        <f t="shared" si="51"/>
        <v>0.16523133273358179</v>
      </c>
      <c r="S77" s="28">
        <f>S72+S76</f>
        <v>0</v>
      </c>
      <c r="T77" s="29">
        <f t="shared" si="52"/>
        <v>0</v>
      </c>
      <c r="U77" s="28">
        <f>U72+U76</f>
        <v>0</v>
      </c>
      <c r="V77" s="29">
        <f t="shared" si="53"/>
        <v>0</v>
      </c>
      <c r="W77" s="28">
        <f>W72+W76</f>
        <v>0</v>
      </c>
      <c r="X77" s="29">
        <f t="shared" si="54"/>
        <v>0</v>
      </c>
      <c r="Y77" s="28">
        <f>Y72+Y76</f>
        <v>31124</v>
      </c>
      <c r="Z77" s="28">
        <f>Z72+Z76</f>
        <v>31124</v>
      </c>
    </row>
    <row r="78" spans="1:26" ht="13.9" customHeight="1" x14ac:dyDescent="0.25">
      <c r="D78" s="88"/>
      <c r="E78" s="44"/>
      <c r="F78" s="44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90"/>
      <c r="S78" s="89"/>
      <c r="T78" s="90"/>
      <c r="U78" s="89"/>
      <c r="V78" s="90"/>
      <c r="W78" s="89"/>
      <c r="X78" s="90"/>
      <c r="Y78" s="89"/>
      <c r="Z78" s="89"/>
    </row>
    <row r="79" spans="1:26" ht="13.9" customHeight="1" x14ac:dyDescent="0.25">
      <c r="D79" s="88"/>
      <c r="E79" s="51" t="s">
        <v>55</v>
      </c>
      <c r="F79" s="30" t="s">
        <v>137</v>
      </c>
      <c r="G79" s="52">
        <v>2588.9499999999998</v>
      </c>
      <c r="H79" s="52">
        <v>2870.5</v>
      </c>
      <c r="I79" s="52">
        <v>2900</v>
      </c>
      <c r="J79" s="52">
        <v>3640</v>
      </c>
      <c r="K79" s="52">
        <v>3650</v>
      </c>
      <c r="L79" s="52"/>
      <c r="M79" s="52"/>
      <c r="N79" s="52"/>
      <c r="O79" s="52"/>
      <c r="P79" s="52">
        <f>K79+SUM(L79:O79)</f>
        <v>3650</v>
      </c>
      <c r="Q79" s="52">
        <v>399.4</v>
      </c>
      <c r="R79" s="53">
        <f>IFERROR(Q79/$P79,0)</f>
        <v>0.10942465753424657</v>
      </c>
      <c r="S79" s="52"/>
      <c r="T79" s="53">
        <f>IFERROR(S79/$P79,0)</f>
        <v>0</v>
      </c>
      <c r="U79" s="52"/>
      <c r="V79" s="53">
        <f>IFERROR(U79/$P79,0)</f>
        <v>0</v>
      </c>
      <c r="W79" s="52"/>
      <c r="X79" s="54">
        <f>IFERROR(W79/$P79,0)</f>
        <v>0</v>
      </c>
      <c r="Y79" s="52">
        <f>K79</f>
        <v>3650</v>
      </c>
      <c r="Z79" s="55">
        <f>Y79</f>
        <v>3650</v>
      </c>
    </row>
    <row r="80" spans="1:26" ht="13.9" customHeight="1" x14ac:dyDescent="0.25">
      <c r="D80" s="88"/>
      <c r="E80" s="56"/>
      <c r="F80" s="92" t="s">
        <v>138</v>
      </c>
      <c r="G80" s="93">
        <v>7374.24</v>
      </c>
      <c r="H80" s="93">
        <v>2763.98</v>
      </c>
      <c r="I80" s="93">
        <v>5000</v>
      </c>
      <c r="J80" s="93">
        <v>3822</v>
      </c>
      <c r="K80" s="93">
        <v>5000</v>
      </c>
      <c r="L80" s="93"/>
      <c r="M80" s="93"/>
      <c r="N80" s="93"/>
      <c r="O80" s="93"/>
      <c r="P80" s="93">
        <f>K80+SUM(L80:O80)</f>
        <v>5000</v>
      </c>
      <c r="Q80" s="93">
        <v>2642.88</v>
      </c>
      <c r="R80" s="94">
        <f>IFERROR(Q80/$P80,0)</f>
        <v>0.52857600000000005</v>
      </c>
      <c r="S80" s="93"/>
      <c r="T80" s="94">
        <f>IFERROR(S80/$P80,0)</f>
        <v>0</v>
      </c>
      <c r="U80" s="93"/>
      <c r="V80" s="94">
        <f>IFERROR(U80/$P80,0)</f>
        <v>0</v>
      </c>
      <c r="W80" s="93"/>
      <c r="X80" s="63">
        <f>IFERROR(W80/$P80,0)</f>
        <v>0</v>
      </c>
      <c r="Y80" s="58">
        <f>K80</f>
        <v>5000</v>
      </c>
      <c r="Z80" s="60">
        <f>Y80</f>
        <v>5000</v>
      </c>
    </row>
    <row r="81" spans="1:26" ht="13.9" customHeight="1" x14ac:dyDescent="0.25">
      <c r="D81" s="88"/>
      <c r="E81" s="56"/>
      <c r="F81" s="15" t="s">
        <v>139</v>
      </c>
      <c r="G81" s="58">
        <v>2379.6</v>
      </c>
      <c r="H81" s="58">
        <v>2633.34</v>
      </c>
      <c r="I81" s="58">
        <v>2780</v>
      </c>
      <c r="J81" s="58">
        <v>2751</v>
      </c>
      <c r="K81" s="58">
        <v>2800</v>
      </c>
      <c r="L81" s="58"/>
      <c r="M81" s="58"/>
      <c r="N81" s="58"/>
      <c r="O81" s="58"/>
      <c r="P81" s="58">
        <f>K81+SUM(L81:O81)</f>
        <v>2800</v>
      </c>
      <c r="Q81" s="58">
        <v>676.71</v>
      </c>
      <c r="R81" s="16">
        <f>IFERROR(Q81/$P81,0)</f>
        <v>0.24168214285714287</v>
      </c>
      <c r="S81" s="58"/>
      <c r="T81" s="16">
        <f>IFERROR(S81/$P81,0)</f>
        <v>0</v>
      </c>
      <c r="U81" s="58"/>
      <c r="V81" s="16">
        <f>IFERROR(U81/$P81,0)</f>
        <v>0</v>
      </c>
      <c r="W81" s="58"/>
      <c r="X81" s="59">
        <f>IFERROR(W81/$P81,0)</f>
        <v>0</v>
      </c>
      <c r="Y81" s="58">
        <f>K81</f>
        <v>2800</v>
      </c>
      <c r="Z81" s="60">
        <f>Y81</f>
        <v>2800</v>
      </c>
    </row>
    <row r="82" spans="1:26" ht="13.9" customHeight="1" x14ac:dyDescent="0.25">
      <c r="D82" s="88"/>
      <c r="E82" s="56"/>
      <c r="F82" s="92" t="s">
        <v>140</v>
      </c>
      <c r="G82" s="95">
        <v>2140.8000000000002</v>
      </c>
      <c r="H82" s="95">
        <v>5431.8</v>
      </c>
      <c r="I82" s="95">
        <v>4271</v>
      </c>
      <c r="J82" s="95">
        <v>4010</v>
      </c>
      <c r="K82" s="95">
        <v>3510</v>
      </c>
      <c r="L82" s="95"/>
      <c r="M82" s="95"/>
      <c r="N82" s="95"/>
      <c r="O82" s="95"/>
      <c r="P82" s="95">
        <f>K82+SUM(L82:O82)</f>
        <v>3510</v>
      </c>
      <c r="Q82" s="95">
        <v>0</v>
      </c>
      <c r="R82" s="96">
        <f>IFERROR(Q82/$P82,0)</f>
        <v>0</v>
      </c>
      <c r="S82" s="95"/>
      <c r="T82" s="96">
        <f>IFERROR(S82/$P82,0)</f>
        <v>0</v>
      </c>
      <c r="U82" s="95"/>
      <c r="V82" s="96">
        <f>IFERROR(U82/$P82,0)</f>
        <v>0</v>
      </c>
      <c r="W82" s="95"/>
      <c r="X82" s="59">
        <f>IFERROR(W82/$P82,0)</f>
        <v>0</v>
      </c>
      <c r="Y82" s="58">
        <f>K82</f>
        <v>3510</v>
      </c>
      <c r="Z82" s="60">
        <f>Y82</f>
        <v>3510</v>
      </c>
    </row>
    <row r="83" spans="1:26" ht="13.9" customHeight="1" x14ac:dyDescent="0.25">
      <c r="D83" s="88"/>
      <c r="E83" s="64"/>
      <c r="F83" s="97" t="s">
        <v>141</v>
      </c>
      <c r="G83" s="66"/>
      <c r="H83" s="66">
        <v>1330</v>
      </c>
      <c r="I83" s="66">
        <v>8000</v>
      </c>
      <c r="J83" s="66">
        <v>18794</v>
      </c>
      <c r="K83" s="98">
        <v>10000</v>
      </c>
      <c r="L83" s="66"/>
      <c r="M83" s="66"/>
      <c r="N83" s="66"/>
      <c r="O83" s="66"/>
      <c r="P83" s="66">
        <f>K83+SUM(L83:O83)</f>
        <v>10000</v>
      </c>
      <c r="Q83" s="66">
        <v>0</v>
      </c>
      <c r="R83" s="67">
        <f>IFERROR(Q83/$P83,0)</f>
        <v>0</v>
      </c>
      <c r="S83" s="66"/>
      <c r="T83" s="67">
        <f>IFERROR(S83/$P83,0)</f>
        <v>0</v>
      </c>
      <c r="U83" s="66"/>
      <c r="V83" s="67">
        <f>IFERROR(U83/$P83,0)</f>
        <v>0</v>
      </c>
      <c r="W83" s="66"/>
      <c r="X83" s="68">
        <f>IFERROR(W83/$P83,0)</f>
        <v>0</v>
      </c>
      <c r="Y83" s="66">
        <f>K83</f>
        <v>10000</v>
      </c>
      <c r="Z83" s="69">
        <f>Y83</f>
        <v>10000</v>
      </c>
    </row>
    <row r="84" spans="1:26" ht="13.9" customHeight="1" x14ac:dyDescent="0.25">
      <c r="D84" s="8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S84" s="58"/>
      <c r="U84" s="58"/>
      <c r="W84" s="58"/>
      <c r="Y84" s="58"/>
      <c r="Z84" s="58"/>
    </row>
    <row r="85" spans="1:26" ht="13.9" customHeight="1" x14ac:dyDescent="0.25">
      <c r="D85" s="4" t="s">
        <v>142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9" customHeight="1" x14ac:dyDescent="0.25">
      <c r="D86" s="21" t="s">
        <v>32</v>
      </c>
      <c r="E86" s="21" t="s">
        <v>33</v>
      </c>
      <c r="F86" s="21" t="s">
        <v>34</v>
      </c>
      <c r="G86" s="21" t="s">
        <v>1</v>
      </c>
      <c r="H86" s="21" t="s">
        <v>2</v>
      </c>
      <c r="I86" s="21" t="s">
        <v>3</v>
      </c>
      <c r="J86" s="21" t="s">
        <v>4</v>
      </c>
      <c r="K86" s="21" t="s">
        <v>5</v>
      </c>
      <c r="L86" s="21" t="s">
        <v>6</v>
      </c>
      <c r="M86" s="21" t="s">
        <v>7</v>
      </c>
      <c r="N86" s="21" t="s">
        <v>8</v>
      </c>
      <c r="O86" s="21" t="s">
        <v>9</v>
      </c>
      <c r="P86" s="21" t="s">
        <v>10</v>
      </c>
      <c r="Q86" s="21" t="s">
        <v>11</v>
      </c>
      <c r="R86" s="22" t="s">
        <v>12</v>
      </c>
      <c r="S86" s="21" t="s">
        <v>13</v>
      </c>
      <c r="T86" s="22" t="s">
        <v>14</v>
      </c>
      <c r="U86" s="21" t="s">
        <v>15</v>
      </c>
      <c r="V86" s="22" t="s">
        <v>16</v>
      </c>
      <c r="W86" s="21" t="s">
        <v>17</v>
      </c>
      <c r="X86" s="22" t="s">
        <v>18</v>
      </c>
      <c r="Y86" s="21" t="s">
        <v>19</v>
      </c>
      <c r="Z86" s="21" t="s">
        <v>20</v>
      </c>
    </row>
    <row r="87" spans="1:26" ht="13.9" hidden="1" customHeight="1" x14ac:dyDescent="0.25">
      <c r="A87" s="15">
        <v>1</v>
      </c>
      <c r="B87" s="15">
        <v>1</v>
      </c>
      <c r="C87" s="15">
        <v>5</v>
      </c>
      <c r="D87" s="10" t="s">
        <v>126</v>
      </c>
      <c r="E87" s="24">
        <v>610</v>
      </c>
      <c r="F87" s="24" t="s">
        <v>127</v>
      </c>
      <c r="G87" s="45">
        <v>0</v>
      </c>
      <c r="H87" s="45">
        <v>0</v>
      </c>
      <c r="I87" s="25">
        <v>0</v>
      </c>
      <c r="J87" s="25">
        <v>800</v>
      </c>
      <c r="K87" s="25">
        <v>0</v>
      </c>
      <c r="L87" s="25"/>
      <c r="M87" s="25"/>
      <c r="N87" s="25"/>
      <c r="O87" s="25"/>
      <c r="P87" s="45">
        <f>K87+SUM(L87:O87)</f>
        <v>0</v>
      </c>
      <c r="Q87" s="45"/>
      <c r="R87" s="46">
        <f t="shared" ref="R87:R98" si="58">IFERROR(Q87/$P87,0)</f>
        <v>0</v>
      </c>
      <c r="S87" s="45"/>
      <c r="T87" s="46">
        <f t="shared" ref="T87:T98" si="59">IFERROR(S87/$P87,0)</f>
        <v>0</v>
      </c>
      <c r="U87" s="45"/>
      <c r="V87" s="46">
        <f t="shared" ref="V87:V98" si="60">IFERROR(U87/$P87,0)</f>
        <v>0</v>
      </c>
      <c r="W87" s="45"/>
      <c r="X87" s="46">
        <f t="shared" ref="X87:X98" si="61">IFERROR(W87/$P87,0)</f>
        <v>0</v>
      </c>
      <c r="Y87" s="25">
        <v>0</v>
      </c>
      <c r="Z87" s="25">
        <v>0</v>
      </c>
    </row>
    <row r="88" spans="1:26" ht="13.9" hidden="1" customHeight="1" x14ac:dyDescent="0.25">
      <c r="A88" s="15">
        <v>1</v>
      </c>
      <c r="B88" s="15">
        <v>1</v>
      </c>
      <c r="C88" s="15">
        <v>5</v>
      </c>
      <c r="D88" s="10"/>
      <c r="E88" s="24">
        <v>620</v>
      </c>
      <c r="F88" s="24" t="s">
        <v>128</v>
      </c>
      <c r="G88" s="45">
        <v>0</v>
      </c>
      <c r="H88" s="45">
        <v>0</v>
      </c>
      <c r="I88" s="25">
        <v>0</v>
      </c>
      <c r="J88" s="25">
        <v>259</v>
      </c>
      <c r="K88" s="25">
        <v>0</v>
      </c>
      <c r="L88" s="25"/>
      <c r="M88" s="25"/>
      <c r="N88" s="25"/>
      <c r="O88" s="25"/>
      <c r="P88" s="45">
        <f>K88+SUM(L88:O88)</f>
        <v>0</v>
      </c>
      <c r="Q88" s="45"/>
      <c r="R88" s="46">
        <f t="shared" si="58"/>
        <v>0</v>
      </c>
      <c r="S88" s="45"/>
      <c r="T88" s="46">
        <f t="shared" si="59"/>
        <v>0</v>
      </c>
      <c r="U88" s="45"/>
      <c r="V88" s="46">
        <f t="shared" si="60"/>
        <v>0</v>
      </c>
      <c r="W88" s="45"/>
      <c r="X88" s="46">
        <f t="shared" si="61"/>
        <v>0</v>
      </c>
      <c r="Y88" s="25">
        <v>0</v>
      </c>
      <c r="Z88" s="25">
        <v>0</v>
      </c>
    </row>
    <row r="89" spans="1:26" ht="13.9" hidden="1" customHeight="1" x14ac:dyDescent="0.25">
      <c r="A89" s="15">
        <v>1</v>
      </c>
      <c r="B89" s="15">
        <v>1</v>
      </c>
      <c r="C89" s="15">
        <v>5</v>
      </c>
      <c r="D89" s="10"/>
      <c r="E89" s="24">
        <v>630</v>
      </c>
      <c r="F89" s="24" t="s">
        <v>129</v>
      </c>
      <c r="G89" s="45">
        <v>7311.57</v>
      </c>
      <c r="H89" s="45">
        <v>3751</v>
      </c>
      <c r="I89" s="25">
        <v>0</v>
      </c>
      <c r="J89" s="25">
        <v>0</v>
      </c>
      <c r="K89" s="25">
        <v>0</v>
      </c>
      <c r="L89" s="25"/>
      <c r="M89" s="25"/>
      <c r="N89" s="25"/>
      <c r="O89" s="25"/>
      <c r="P89" s="45">
        <f>K89+SUM(L89:O89)</f>
        <v>0</v>
      </c>
      <c r="Q89" s="45"/>
      <c r="R89" s="46">
        <f t="shared" si="58"/>
        <v>0</v>
      </c>
      <c r="S89" s="45"/>
      <c r="T89" s="46">
        <f t="shared" si="59"/>
        <v>0</v>
      </c>
      <c r="U89" s="45"/>
      <c r="V89" s="46">
        <f t="shared" si="60"/>
        <v>0</v>
      </c>
      <c r="W89" s="45"/>
      <c r="X89" s="46">
        <f t="shared" si="61"/>
        <v>0</v>
      </c>
      <c r="Y89" s="25">
        <v>0</v>
      </c>
      <c r="Z89" s="25">
        <v>0</v>
      </c>
    </row>
    <row r="90" spans="1:26" ht="13.9" hidden="1" customHeight="1" x14ac:dyDescent="0.25">
      <c r="A90" s="15">
        <v>1</v>
      </c>
      <c r="B90" s="15">
        <v>1</v>
      </c>
      <c r="C90" s="15">
        <v>5</v>
      </c>
      <c r="D90" s="79" t="s">
        <v>21</v>
      </c>
      <c r="E90" s="47">
        <v>111</v>
      </c>
      <c r="F90" s="47" t="s">
        <v>132</v>
      </c>
      <c r="G90" s="48">
        <f t="shared" ref="G90:Q90" si="62">SUM(G87:G89)</f>
        <v>7311.57</v>
      </c>
      <c r="H90" s="48">
        <f t="shared" si="62"/>
        <v>3751</v>
      </c>
      <c r="I90" s="48">
        <f t="shared" si="62"/>
        <v>0</v>
      </c>
      <c r="J90" s="48">
        <f t="shared" si="62"/>
        <v>1059</v>
      </c>
      <c r="K90" s="48">
        <f t="shared" si="62"/>
        <v>0</v>
      </c>
      <c r="L90" s="48">
        <f t="shared" si="62"/>
        <v>0</v>
      </c>
      <c r="M90" s="48">
        <f t="shared" si="62"/>
        <v>0</v>
      </c>
      <c r="N90" s="48">
        <f t="shared" si="62"/>
        <v>0</v>
      </c>
      <c r="O90" s="48">
        <f t="shared" si="62"/>
        <v>0</v>
      </c>
      <c r="P90" s="48">
        <f t="shared" si="62"/>
        <v>0</v>
      </c>
      <c r="Q90" s="48">
        <f t="shared" si="62"/>
        <v>0</v>
      </c>
      <c r="R90" s="49">
        <f t="shared" si="58"/>
        <v>0</v>
      </c>
      <c r="S90" s="48">
        <f>SUM(S87:S89)</f>
        <v>0</v>
      </c>
      <c r="T90" s="49">
        <f t="shared" si="59"/>
        <v>0</v>
      </c>
      <c r="U90" s="48">
        <f>SUM(U87:U89)</f>
        <v>0</v>
      </c>
      <c r="V90" s="49">
        <f t="shared" si="60"/>
        <v>0</v>
      </c>
      <c r="W90" s="48">
        <f>SUM(W87:W89)</f>
        <v>0</v>
      </c>
      <c r="X90" s="49">
        <f t="shared" si="61"/>
        <v>0</v>
      </c>
      <c r="Y90" s="48">
        <f>SUM(Y87:Y89)</f>
        <v>0</v>
      </c>
      <c r="Z90" s="48">
        <f>SUM(Z87:Z89)</f>
        <v>0</v>
      </c>
    </row>
    <row r="91" spans="1:26" ht="13.9" customHeight="1" x14ac:dyDescent="0.25">
      <c r="A91" s="15">
        <v>1</v>
      </c>
      <c r="B91" s="15">
        <v>1</v>
      </c>
      <c r="C91" s="15">
        <v>5</v>
      </c>
      <c r="D91" s="10" t="s">
        <v>126</v>
      </c>
      <c r="E91" s="24">
        <v>610</v>
      </c>
      <c r="F91" s="24" t="s">
        <v>127</v>
      </c>
      <c r="G91" s="45">
        <v>9364.5</v>
      </c>
      <c r="H91" s="45">
        <v>10019.26</v>
      </c>
      <c r="I91" s="25">
        <v>10493</v>
      </c>
      <c r="J91" s="25">
        <v>13376</v>
      </c>
      <c r="K91" s="25">
        <v>11671</v>
      </c>
      <c r="L91" s="25">
        <v>-177</v>
      </c>
      <c r="M91" s="25"/>
      <c r="N91" s="25"/>
      <c r="O91" s="25"/>
      <c r="P91" s="45">
        <f>K91+SUM(L91:O91)</f>
        <v>11494</v>
      </c>
      <c r="Q91" s="45">
        <v>2447.5</v>
      </c>
      <c r="R91" s="46">
        <f t="shared" si="58"/>
        <v>0.2129371846180616</v>
      </c>
      <c r="S91" s="45"/>
      <c r="T91" s="46">
        <f t="shared" si="59"/>
        <v>0</v>
      </c>
      <c r="U91" s="45"/>
      <c r="V91" s="46">
        <f t="shared" si="60"/>
        <v>0</v>
      </c>
      <c r="W91" s="45"/>
      <c r="X91" s="46">
        <f t="shared" si="61"/>
        <v>0</v>
      </c>
      <c r="Y91" s="25">
        <v>12159</v>
      </c>
      <c r="Z91" s="25">
        <v>12671</v>
      </c>
    </row>
    <row r="92" spans="1:26" ht="13.9" customHeight="1" x14ac:dyDescent="0.25">
      <c r="A92" s="15">
        <v>1</v>
      </c>
      <c r="B92" s="15">
        <v>1</v>
      </c>
      <c r="C92" s="15">
        <v>5</v>
      </c>
      <c r="D92" s="10"/>
      <c r="E92" s="24">
        <v>620</v>
      </c>
      <c r="F92" s="24" t="s">
        <v>128</v>
      </c>
      <c r="G92" s="45">
        <v>3272.62</v>
      </c>
      <c r="H92" s="45">
        <v>3526.65</v>
      </c>
      <c r="I92" s="25">
        <v>3404</v>
      </c>
      <c r="J92" s="25">
        <v>3800</v>
      </c>
      <c r="K92" s="25">
        <v>3786</v>
      </c>
      <c r="L92" s="25"/>
      <c r="M92" s="25"/>
      <c r="N92" s="25"/>
      <c r="O92" s="25"/>
      <c r="P92" s="45">
        <f>K92+SUM(L92:O92)</f>
        <v>3786</v>
      </c>
      <c r="Q92" s="45">
        <v>794.17</v>
      </c>
      <c r="R92" s="46">
        <f t="shared" si="58"/>
        <v>0.20976492340200739</v>
      </c>
      <c r="S92" s="45"/>
      <c r="T92" s="46">
        <f t="shared" si="59"/>
        <v>0</v>
      </c>
      <c r="U92" s="45"/>
      <c r="V92" s="46">
        <f t="shared" si="60"/>
        <v>0</v>
      </c>
      <c r="W92" s="45"/>
      <c r="X92" s="46">
        <f t="shared" si="61"/>
        <v>0</v>
      </c>
      <c r="Y92" s="25">
        <v>3945</v>
      </c>
      <c r="Z92" s="25">
        <v>4111</v>
      </c>
    </row>
    <row r="93" spans="1:26" ht="13.9" customHeight="1" x14ac:dyDescent="0.25">
      <c r="A93" s="15">
        <v>1</v>
      </c>
      <c r="B93" s="15">
        <v>1</v>
      </c>
      <c r="C93" s="15">
        <v>5</v>
      </c>
      <c r="D93" s="10"/>
      <c r="E93" s="24">
        <v>630</v>
      </c>
      <c r="F93" s="24" t="s">
        <v>129</v>
      </c>
      <c r="G93" s="45">
        <v>23501.93</v>
      </c>
      <c r="H93" s="45">
        <v>29029.040000000001</v>
      </c>
      <c r="I93" s="25">
        <v>20509</v>
      </c>
      <c r="J93" s="25">
        <v>23379</v>
      </c>
      <c r="K93" s="25">
        <f>1580+21921</f>
        <v>23501</v>
      </c>
      <c r="L93" s="25"/>
      <c r="M93" s="25"/>
      <c r="N93" s="25"/>
      <c r="O93" s="25"/>
      <c r="P93" s="45">
        <f>K93+SUM(L93:O93)</f>
        <v>23501</v>
      </c>
      <c r="Q93" s="45">
        <v>6517.38</v>
      </c>
      <c r="R93" s="46">
        <f t="shared" si="58"/>
        <v>0.27732351814816392</v>
      </c>
      <c r="S93" s="45"/>
      <c r="T93" s="46">
        <f t="shared" si="59"/>
        <v>0</v>
      </c>
      <c r="U93" s="45"/>
      <c r="V93" s="46">
        <f t="shared" si="60"/>
        <v>0</v>
      </c>
      <c r="W93" s="45"/>
      <c r="X93" s="46">
        <f t="shared" si="61"/>
        <v>0</v>
      </c>
      <c r="Y93" s="25">
        <f>1666+21921</f>
        <v>23587</v>
      </c>
      <c r="Z93" s="25">
        <f>1861+21921</f>
        <v>23782</v>
      </c>
    </row>
    <row r="94" spans="1:26" ht="13.9" customHeight="1" x14ac:dyDescent="0.25">
      <c r="A94" s="15">
        <v>1</v>
      </c>
      <c r="B94" s="15">
        <v>1</v>
      </c>
      <c r="C94" s="15">
        <v>5</v>
      </c>
      <c r="D94" s="10"/>
      <c r="E94" s="24">
        <v>640</v>
      </c>
      <c r="F94" s="24" t="s">
        <v>130</v>
      </c>
      <c r="G94" s="45">
        <v>0</v>
      </c>
      <c r="H94" s="45">
        <v>0</v>
      </c>
      <c r="I94" s="25">
        <v>0</v>
      </c>
      <c r="J94" s="25">
        <v>0</v>
      </c>
      <c r="K94" s="25">
        <v>0</v>
      </c>
      <c r="L94" s="25">
        <v>177</v>
      </c>
      <c r="M94" s="25"/>
      <c r="N94" s="25"/>
      <c r="O94" s="25"/>
      <c r="P94" s="45">
        <f>K94+SUM(L94:O94)</f>
        <v>177</v>
      </c>
      <c r="Q94" s="45">
        <v>131.85</v>
      </c>
      <c r="R94" s="46">
        <f t="shared" si="58"/>
        <v>0.7449152542372881</v>
      </c>
      <c r="S94" s="45"/>
      <c r="T94" s="46">
        <f t="shared" si="59"/>
        <v>0</v>
      </c>
      <c r="U94" s="45"/>
      <c r="V94" s="46">
        <f t="shared" si="60"/>
        <v>0</v>
      </c>
      <c r="W94" s="45"/>
      <c r="X94" s="46">
        <f t="shared" si="61"/>
        <v>0</v>
      </c>
      <c r="Y94" s="25">
        <v>0</v>
      </c>
      <c r="Z94" s="25">
        <v>0</v>
      </c>
    </row>
    <row r="95" spans="1:26" ht="13.9" customHeight="1" x14ac:dyDescent="0.25">
      <c r="A95" s="15">
        <v>1</v>
      </c>
      <c r="B95" s="15">
        <v>1</v>
      </c>
      <c r="C95" s="15">
        <v>5</v>
      </c>
      <c r="D95" s="79" t="s">
        <v>21</v>
      </c>
      <c r="E95" s="47">
        <v>41</v>
      </c>
      <c r="F95" s="47" t="s">
        <v>23</v>
      </c>
      <c r="G95" s="48">
        <f t="shared" ref="G95:Q95" si="63">SUM(G91:G94)</f>
        <v>36139.050000000003</v>
      </c>
      <c r="H95" s="48">
        <f t="shared" si="63"/>
        <v>42574.95</v>
      </c>
      <c r="I95" s="48">
        <f t="shared" si="63"/>
        <v>34406</v>
      </c>
      <c r="J95" s="48">
        <f t="shared" si="63"/>
        <v>40555</v>
      </c>
      <c r="K95" s="48">
        <f t="shared" si="63"/>
        <v>38958</v>
      </c>
      <c r="L95" s="48">
        <f t="shared" si="63"/>
        <v>0</v>
      </c>
      <c r="M95" s="48">
        <f t="shared" si="63"/>
        <v>0</v>
      </c>
      <c r="N95" s="48">
        <f t="shared" si="63"/>
        <v>0</v>
      </c>
      <c r="O95" s="48">
        <f t="shared" si="63"/>
        <v>0</v>
      </c>
      <c r="P95" s="48">
        <f t="shared" si="63"/>
        <v>38958</v>
      </c>
      <c r="Q95" s="48">
        <f t="shared" si="63"/>
        <v>9890.9</v>
      </c>
      <c r="R95" s="49">
        <f t="shared" si="58"/>
        <v>0.2538862364597772</v>
      </c>
      <c r="S95" s="48">
        <f>SUM(S91:S94)</f>
        <v>0</v>
      </c>
      <c r="T95" s="49">
        <f t="shared" si="59"/>
        <v>0</v>
      </c>
      <c r="U95" s="48">
        <f>SUM(U91:U94)</f>
        <v>0</v>
      </c>
      <c r="V95" s="49">
        <f t="shared" si="60"/>
        <v>0</v>
      </c>
      <c r="W95" s="48">
        <f>SUM(W91:W94)</f>
        <v>0</v>
      </c>
      <c r="X95" s="49">
        <f t="shared" si="61"/>
        <v>0</v>
      </c>
      <c r="Y95" s="48">
        <f>SUM(Y91:Y94)</f>
        <v>39691</v>
      </c>
      <c r="Z95" s="48">
        <f>SUM(Z91:Z94)</f>
        <v>40564</v>
      </c>
    </row>
    <row r="96" spans="1:26" ht="13.9" customHeight="1" x14ac:dyDescent="0.25">
      <c r="A96" s="15">
        <v>1</v>
      </c>
      <c r="B96" s="15">
        <v>1</v>
      </c>
      <c r="C96" s="15">
        <v>5</v>
      </c>
      <c r="D96" s="91" t="s">
        <v>126</v>
      </c>
      <c r="E96" s="24">
        <v>640</v>
      </c>
      <c r="F96" s="24" t="s">
        <v>130</v>
      </c>
      <c r="G96" s="25">
        <v>153.72</v>
      </c>
      <c r="H96" s="25">
        <v>149.47</v>
      </c>
      <c r="I96" s="25">
        <v>179</v>
      </c>
      <c r="J96" s="25">
        <v>201</v>
      </c>
      <c r="K96" s="25">
        <v>172</v>
      </c>
      <c r="L96" s="25"/>
      <c r="M96" s="25"/>
      <c r="N96" s="25"/>
      <c r="O96" s="25"/>
      <c r="P96" s="25">
        <f>K96+SUM(L96:O96)</f>
        <v>172</v>
      </c>
      <c r="Q96" s="25">
        <v>0</v>
      </c>
      <c r="R96" s="26">
        <f t="shared" si="58"/>
        <v>0</v>
      </c>
      <c r="S96" s="25"/>
      <c r="T96" s="26">
        <f t="shared" si="59"/>
        <v>0</v>
      </c>
      <c r="U96" s="25"/>
      <c r="V96" s="26">
        <f t="shared" si="60"/>
        <v>0</v>
      </c>
      <c r="W96" s="25"/>
      <c r="X96" s="26">
        <f t="shared" si="61"/>
        <v>0</v>
      </c>
      <c r="Y96" s="25">
        <f>K96</f>
        <v>172</v>
      </c>
      <c r="Z96" s="25">
        <f>Y96</f>
        <v>172</v>
      </c>
    </row>
    <row r="97" spans="1:26" ht="13.9" customHeight="1" x14ac:dyDescent="0.25">
      <c r="A97" s="15">
        <v>1</v>
      </c>
      <c r="B97" s="15">
        <v>1</v>
      </c>
      <c r="C97" s="15">
        <v>5</v>
      </c>
      <c r="D97" s="79" t="s">
        <v>21</v>
      </c>
      <c r="E97" s="47">
        <v>72</v>
      </c>
      <c r="F97" s="47" t="s">
        <v>25</v>
      </c>
      <c r="G97" s="48">
        <f t="shared" ref="G97:Q97" si="64">SUM(G96)</f>
        <v>153.72</v>
      </c>
      <c r="H97" s="48">
        <f t="shared" si="64"/>
        <v>149.47</v>
      </c>
      <c r="I97" s="48">
        <f t="shared" si="64"/>
        <v>179</v>
      </c>
      <c r="J97" s="48">
        <f t="shared" si="64"/>
        <v>201</v>
      </c>
      <c r="K97" s="48">
        <f t="shared" si="64"/>
        <v>172</v>
      </c>
      <c r="L97" s="48">
        <f t="shared" si="64"/>
        <v>0</v>
      </c>
      <c r="M97" s="48">
        <f t="shared" si="64"/>
        <v>0</v>
      </c>
      <c r="N97" s="48">
        <f t="shared" si="64"/>
        <v>0</v>
      </c>
      <c r="O97" s="48">
        <f t="shared" si="64"/>
        <v>0</v>
      </c>
      <c r="P97" s="48">
        <f t="shared" si="64"/>
        <v>172</v>
      </c>
      <c r="Q97" s="48">
        <f t="shared" si="64"/>
        <v>0</v>
      </c>
      <c r="R97" s="49">
        <f t="shared" si="58"/>
        <v>0</v>
      </c>
      <c r="S97" s="48">
        <f>SUM(S96)</f>
        <v>0</v>
      </c>
      <c r="T97" s="49">
        <f t="shared" si="59"/>
        <v>0</v>
      </c>
      <c r="U97" s="48">
        <f>SUM(U96)</f>
        <v>0</v>
      </c>
      <c r="V97" s="49">
        <f t="shared" si="60"/>
        <v>0</v>
      </c>
      <c r="W97" s="48">
        <f>SUM(W96)</f>
        <v>0</v>
      </c>
      <c r="X97" s="49">
        <f t="shared" si="61"/>
        <v>0</v>
      </c>
      <c r="Y97" s="48">
        <f>SUM(Y96)</f>
        <v>172</v>
      </c>
      <c r="Z97" s="48">
        <f>SUM(Z96)</f>
        <v>172</v>
      </c>
    </row>
    <row r="98" spans="1:26" ht="13.9" customHeight="1" x14ac:dyDescent="0.25">
      <c r="A98" s="15">
        <v>1</v>
      </c>
      <c r="B98" s="15">
        <v>1</v>
      </c>
      <c r="C98" s="15">
        <v>5</v>
      </c>
      <c r="D98" s="86"/>
      <c r="E98" s="87"/>
      <c r="F98" s="27" t="s">
        <v>122</v>
      </c>
      <c r="G98" s="28">
        <f t="shared" ref="G98:Q98" si="65">G90+G95+G97</f>
        <v>43604.340000000004</v>
      </c>
      <c r="H98" s="28">
        <f t="shared" si="65"/>
        <v>46475.42</v>
      </c>
      <c r="I98" s="28">
        <f t="shared" si="65"/>
        <v>34585</v>
      </c>
      <c r="J98" s="28">
        <f t="shared" si="65"/>
        <v>41815</v>
      </c>
      <c r="K98" s="28">
        <f t="shared" si="65"/>
        <v>39130</v>
      </c>
      <c r="L98" s="28">
        <f t="shared" si="65"/>
        <v>0</v>
      </c>
      <c r="M98" s="28">
        <f t="shared" si="65"/>
        <v>0</v>
      </c>
      <c r="N98" s="28">
        <f t="shared" si="65"/>
        <v>0</v>
      </c>
      <c r="O98" s="28">
        <f t="shared" si="65"/>
        <v>0</v>
      </c>
      <c r="P98" s="28">
        <f t="shared" si="65"/>
        <v>39130</v>
      </c>
      <c r="Q98" s="28">
        <f t="shared" si="65"/>
        <v>9890.9</v>
      </c>
      <c r="R98" s="29">
        <f t="shared" si="58"/>
        <v>0.25277025300281114</v>
      </c>
      <c r="S98" s="28">
        <f>S90+S95+S97</f>
        <v>0</v>
      </c>
      <c r="T98" s="29">
        <f t="shared" si="59"/>
        <v>0</v>
      </c>
      <c r="U98" s="28">
        <f>U90+U95+U97</f>
        <v>0</v>
      </c>
      <c r="V98" s="29">
        <f t="shared" si="60"/>
        <v>0</v>
      </c>
      <c r="W98" s="28">
        <f>W90+W95+W97</f>
        <v>0</v>
      </c>
      <c r="X98" s="29">
        <f t="shared" si="61"/>
        <v>0</v>
      </c>
      <c r="Y98" s="28">
        <f>Y90+Y95+Y97</f>
        <v>39863</v>
      </c>
      <c r="Z98" s="28">
        <f>Z90+Z95+Z97</f>
        <v>40736</v>
      </c>
    </row>
    <row r="99" spans="1:26" ht="13.9" customHeight="1" x14ac:dyDescent="0.25">
      <c r="D99" s="88"/>
      <c r="E99" s="44"/>
      <c r="F99" s="44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90"/>
      <c r="S99" s="89"/>
      <c r="T99" s="90"/>
      <c r="U99" s="89"/>
      <c r="V99" s="90"/>
      <c r="W99" s="89"/>
      <c r="X99" s="90"/>
      <c r="Y99" s="89"/>
      <c r="Z99" s="89"/>
    </row>
    <row r="100" spans="1:26" ht="13.9" customHeight="1" x14ac:dyDescent="0.25">
      <c r="D100" s="88"/>
      <c r="E100" s="51" t="s">
        <v>55</v>
      </c>
      <c r="F100" s="30" t="s">
        <v>143</v>
      </c>
      <c r="G100" s="52">
        <f>723</f>
        <v>723</v>
      </c>
      <c r="H100" s="52">
        <v>1279.6099999999999</v>
      </c>
      <c r="I100" s="52">
        <v>1205</v>
      </c>
      <c r="J100" s="52">
        <v>1453</v>
      </c>
      <c r="K100" s="52">
        <v>1455</v>
      </c>
      <c r="L100" s="52"/>
      <c r="M100" s="52"/>
      <c r="N100" s="52"/>
      <c r="O100" s="52"/>
      <c r="P100" s="52">
        <f>K100+SUM(L100:O100)</f>
        <v>1455</v>
      </c>
      <c r="Q100" s="52">
        <v>373.38</v>
      </c>
      <c r="R100" s="53">
        <f>IFERROR(Q100/$P100,0)</f>
        <v>0.2566185567010309</v>
      </c>
      <c r="S100" s="52"/>
      <c r="T100" s="53">
        <f>IFERROR(S100/$P100,0)</f>
        <v>0</v>
      </c>
      <c r="U100" s="52"/>
      <c r="V100" s="53">
        <f>IFERROR(U100/$P100,0)</f>
        <v>0</v>
      </c>
      <c r="W100" s="52"/>
      <c r="X100" s="54">
        <f>IFERROR(W100/$P100,0)</f>
        <v>0</v>
      </c>
      <c r="Y100" s="52">
        <f>K100</f>
        <v>1455</v>
      </c>
      <c r="Z100" s="55">
        <f>Y100</f>
        <v>1455</v>
      </c>
    </row>
    <row r="101" spans="1:26" ht="13.9" customHeight="1" x14ac:dyDescent="0.25">
      <c r="D101" s="88"/>
      <c r="E101" s="56"/>
      <c r="F101" s="15" t="s">
        <v>144</v>
      </c>
      <c r="G101" s="58">
        <f>6588.57</f>
        <v>6588.57</v>
      </c>
      <c r="H101" s="58">
        <v>3751</v>
      </c>
      <c r="I101" s="58">
        <v>3750</v>
      </c>
      <c r="J101" s="58">
        <v>3905</v>
      </c>
      <c r="K101" s="58">
        <v>3905</v>
      </c>
      <c r="L101" s="58"/>
      <c r="M101" s="58"/>
      <c r="N101" s="58"/>
      <c r="O101" s="58"/>
      <c r="P101" s="58">
        <f>K101+SUM(L101:O101)</f>
        <v>3905</v>
      </c>
      <c r="Q101" s="58">
        <v>635.22</v>
      </c>
      <c r="R101" s="16">
        <f>IFERROR(Q101/$P101,0)</f>
        <v>0.1626683738796415</v>
      </c>
      <c r="S101" s="58"/>
      <c r="T101" s="16">
        <f>IFERROR(S101/$P101,0)</f>
        <v>0</v>
      </c>
      <c r="U101" s="58"/>
      <c r="V101" s="16">
        <f>IFERROR(U101/$P101,0)</f>
        <v>0</v>
      </c>
      <c r="W101" s="58"/>
      <c r="X101" s="59">
        <f>IFERROR(W101/$P101,0)</f>
        <v>0</v>
      </c>
      <c r="Y101" s="58">
        <f>K101</f>
        <v>3905</v>
      </c>
      <c r="Z101" s="60">
        <f>Y101</f>
        <v>3905</v>
      </c>
    </row>
    <row r="102" spans="1:26" ht="13.9" customHeight="1" x14ac:dyDescent="0.25">
      <c r="D102" s="88"/>
      <c r="E102" s="56"/>
      <c r="F102" s="15" t="s">
        <v>145</v>
      </c>
      <c r="G102" s="58">
        <v>1961.49</v>
      </c>
      <c r="H102" s="58">
        <v>2090.5</v>
      </c>
      <c r="I102" s="58">
        <v>2001</v>
      </c>
      <c r="J102" s="58">
        <v>2060</v>
      </c>
      <c r="K102" s="58">
        <v>2102</v>
      </c>
      <c r="L102" s="58"/>
      <c r="M102" s="58"/>
      <c r="N102" s="58"/>
      <c r="O102" s="58"/>
      <c r="P102" s="58">
        <f>K102+SUM(L102:O102)</f>
        <v>2102</v>
      </c>
      <c r="Q102" s="58">
        <v>246.09</v>
      </c>
      <c r="R102" s="16">
        <f>IFERROR(Q102/$P102,0)</f>
        <v>0.11707421503330162</v>
      </c>
      <c r="S102" s="58"/>
      <c r="T102" s="16">
        <f>IFERROR(S102/$P102,0)</f>
        <v>0</v>
      </c>
      <c r="U102" s="58"/>
      <c r="V102" s="16">
        <f>IFERROR(U102/$P102,0)</f>
        <v>0</v>
      </c>
      <c r="W102" s="58"/>
      <c r="X102" s="59">
        <f>IFERROR(W102/$P102,0)</f>
        <v>0</v>
      </c>
      <c r="Y102" s="58">
        <f>K102</f>
        <v>2102</v>
      </c>
      <c r="Z102" s="60">
        <f>Y102</f>
        <v>2102</v>
      </c>
    </row>
    <row r="103" spans="1:26" ht="13.9" customHeight="1" x14ac:dyDescent="0.25">
      <c r="D103" s="88"/>
      <c r="E103" s="56"/>
      <c r="F103" s="15" t="s">
        <v>146</v>
      </c>
      <c r="G103" s="58">
        <v>5084.7</v>
      </c>
      <c r="H103" s="58">
        <v>14873.7</v>
      </c>
      <c r="I103" s="58">
        <v>5000</v>
      </c>
      <c r="J103" s="58">
        <v>5801</v>
      </c>
      <c r="K103" s="58">
        <v>5800</v>
      </c>
      <c r="L103" s="58"/>
      <c r="M103" s="58"/>
      <c r="N103" s="58"/>
      <c r="O103" s="58"/>
      <c r="P103" s="58">
        <f>K103+SUM(L103:O103)</f>
        <v>5800</v>
      </c>
      <c r="Q103" s="58">
        <v>1472.42</v>
      </c>
      <c r="R103" s="16">
        <f>IFERROR(Q103/$P103,0)</f>
        <v>0.25386551724137935</v>
      </c>
      <c r="S103" s="58"/>
      <c r="T103" s="16">
        <f>IFERROR(S103/$P103,0)</f>
        <v>0</v>
      </c>
      <c r="U103" s="58"/>
      <c r="V103" s="16">
        <f>IFERROR(U103/$P103,0)</f>
        <v>0</v>
      </c>
      <c r="W103" s="58"/>
      <c r="X103" s="59">
        <f>IFERROR(W103/$P103,0)</f>
        <v>0</v>
      </c>
      <c r="Y103" s="58">
        <f>K103</f>
        <v>5800</v>
      </c>
      <c r="Z103" s="60">
        <f>Y103</f>
        <v>5800</v>
      </c>
    </row>
    <row r="104" spans="1:26" ht="13.9" customHeight="1" x14ac:dyDescent="0.25">
      <c r="D104" s="88"/>
      <c r="E104" s="64"/>
      <c r="F104" s="97" t="s">
        <v>147</v>
      </c>
      <c r="G104" s="66">
        <v>5194.79</v>
      </c>
      <c r="H104" s="66">
        <v>5544.13</v>
      </c>
      <c r="I104" s="66">
        <v>3875</v>
      </c>
      <c r="J104" s="66">
        <v>4341</v>
      </c>
      <c r="K104" s="66">
        <v>4355</v>
      </c>
      <c r="L104" s="66"/>
      <c r="M104" s="66"/>
      <c r="N104" s="66"/>
      <c r="O104" s="66"/>
      <c r="P104" s="66">
        <f>K104+SUM(L104:O104)</f>
        <v>4355</v>
      </c>
      <c r="Q104" s="66">
        <v>3145.11</v>
      </c>
      <c r="R104" s="67">
        <f>IFERROR(Q104/$P104,0)</f>
        <v>0.72218369690011486</v>
      </c>
      <c r="S104" s="66"/>
      <c r="T104" s="67">
        <f>IFERROR(S104/$P104,0)</f>
        <v>0</v>
      </c>
      <c r="U104" s="66"/>
      <c r="V104" s="67">
        <f>IFERROR(U104/$P104,0)</f>
        <v>0</v>
      </c>
      <c r="W104" s="66"/>
      <c r="X104" s="68">
        <f>IFERROR(W104/$P104,0)</f>
        <v>0</v>
      </c>
      <c r="Y104" s="66">
        <f>K104</f>
        <v>4355</v>
      </c>
      <c r="Z104" s="69">
        <f>Y104</f>
        <v>4355</v>
      </c>
    </row>
    <row r="105" spans="1:26" ht="13.9" customHeight="1" x14ac:dyDescent="0.25">
      <c r="D105" s="88"/>
      <c r="E105" s="44"/>
      <c r="F105" s="44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90"/>
      <c r="S105" s="89"/>
      <c r="T105" s="90"/>
      <c r="U105" s="89"/>
      <c r="V105" s="90"/>
      <c r="W105" s="89"/>
      <c r="X105" s="90"/>
      <c r="Y105" s="89"/>
      <c r="Z105" s="89"/>
    </row>
    <row r="106" spans="1:26" ht="13.9" customHeight="1" x14ac:dyDescent="0.25">
      <c r="D106" s="4" t="s">
        <v>148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9" customHeight="1" x14ac:dyDescent="0.25">
      <c r="D107" s="21" t="s">
        <v>32</v>
      </c>
      <c r="E107" s="21" t="s">
        <v>33</v>
      </c>
      <c r="F107" s="21" t="s">
        <v>34</v>
      </c>
      <c r="G107" s="21" t="s">
        <v>1</v>
      </c>
      <c r="H107" s="21" t="s">
        <v>2</v>
      </c>
      <c r="I107" s="21" t="s">
        <v>3</v>
      </c>
      <c r="J107" s="21" t="s">
        <v>4</v>
      </c>
      <c r="K107" s="21" t="s">
        <v>5</v>
      </c>
      <c r="L107" s="21" t="s">
        <v>6</v>
      </c>
      <c r="M107" s="21" t="s">
        <v>7</v>
      </c>
      <c r="N107" s="21" t="s">
        <v>8</v>
      </c>
      <c r="O107" s="21" t="s">
        <v>9</v>
      </c>
      <c r="P107" s="21" t="s">
        <v>10</v>
      </c>
      <c r="Q107" s="21" t="s">
        <v>11</v>
      </c>
      <c r="R107" s="22" t="s">
        <v>12</v>
      </c>
      <c r="S107" s="21" t="s">
        <v>13</v>
      </c>
      <c r="T107" s="22" t="s">
        <v>14</v>
      </c>
      <c r="U107" s="21" t="s">
        <v>15</v>
      </c>
      <c r="V107" s="22" t="s">
        <v>16</v>
      </c>
      <c r="W107" s="21" t="s">
        <v>17</v>
      </c>
      <c r="X107" s="22" t="s">
        <v>18</v>
      </c>
      <c r="Y107" s="21" t="s">
        <v>19</v>
      </c>
      <c r="Z107" s="21" t="s">
        <v>20</v>
      </c>
    </row>
    <row r="108" spans="1:26" ht="13.9" customHeight="1" x14ac:dyDescent="0.25">
      <c r="A108" s="15">
        <v>1</v>
      </c>
      <c r="B108" s="15">
        <v>1</v>
      </c>
      <c r="C108" s="15">
        <v>6</v>
      </c>
      <c r="D108" s="84" t="s">
        <v>149</v>
      </c>
      <c r="E108" s="24">
        <v>630</v>
      </c>
      <c r="F108" s="24" t="s">
        <v>129</v>
      </c>
      <c r="G108" s="25">
        <v>328.99</v>
      </c>
      <c r="H108" s="25">
        <v>889.25</v>
      </c>
      <c r="I108" s="25">
        <v>755</v>
      </c>
      <c r="J108" s="25">
        <v>1461</v>
      </c>
      <c r="K108" s="25">
        <v>634</v>
      </c>
      <c r="L108" s="25"/>
      <c r="M108" s="25"/>
      <c r="N108" s="25"/>
      <c r="O108" s="25"/>
      <c r="P108" s="25">
        <f>K108+SUM(L108:O108)</f>
        <v>634</v>
      </c>
      <c r="Q108" s="25">
        <v>366.33</v>
      </c>
      <c r="R108" s="26">
        <f>IFERROR(Q108/$P108,0)</f>
        <v>0.57780757097791791</v>
      </c>
      <c r="S108" s="25"/>
      <c r="T108" s="26">
        <f>IFERROR(S108/$P108,0)</f>
        <v>0</v>
      </c>
      <c r="U108" s="25"/>
      <c r="V108" s="26">
        <f>IFERROR(U108/$P108,0)</f>
        <v>0</v>
      </c>
      <c r="W108" s="25"/>
      <c r="X108" s="26">
        <f>IFERROR(W108/$P108,0)</f>
        <v>0</v>
      </c>
      <c r="Y108" s="25">
        <v>634</v>
      </c>
      <c r="Z108" s="25">
        <f>Y108</f>
        <v>634</v>
      </c>
    </row>
    <row r="109" spans="1:26" ht="13.9" customHeight="1" x14ac:dyDescent="0.25">
      <c r="A109" s="15">
        <v>1</v>
      </c>
      <c r="B109" s="15">
        <v>1</v>
      </c>
      <c r="C109" s="15">
        <v>6</v>
      </c>
      <c r="D109" s="79" t="s">
        <v>21</v>
      </c>
      <c r="E109" s="47">
        <v>41</v>
      </c>
      <c r="F109" s="47" t="s">
        <v>23</v>
      </c>
      <c r="G109" s="48">
        <f t="shared" ref="G109:Q109" si="66">SUM(G108)</f>
        <v>328.99</v>
      </c>
      <c r="H109" s="48">
        <f t="shared" si="66"/>
        <v>889.25</v>
      </c>
      <c r="I109" s="48">
        <f t="shared" si="66"/>
        <v>755</v>
      </c>
      <c r="J109" s="48">
        <f t="shared" si="66"/>
        <v>1461</v>
      </c>
      <c r="K109" s="48">
        <f t="shared" si="66"/>
        <v>634</v>
      </c>
      <c r="L109" s="48">
        <f t="shared" si="66"/>
        <v>0</v>
      </c>
      <c r="M109" s="48">
        <f t="shared" si="66"/>
        <v>0</v>
      </c>
      <c r="N109" s="48">
        <f t="shared" si="66"/>
        <v>0</v>
      </c>
      <c r="O109" s="48">
        <f t="shared" si="66"/>
        <v>0</v>
      </c>
      <c r="P109" s="48">
        <f t="shared" si="66"/>
        <v>634</v>
      </c>
      <c r="Q109" s="48">
        <f t="shared" si="66"/>
        <v>366.33</v>
      </c>
      <c r="R109" s="49">
        <f>IFERROR(Q109/$P109,0)</f>
        <v>0.57780757097791791</v>
      </c>
      <c r="S109" s="48">
        <f>SUM(S108)</f>
        <v>0</v>
      </c>
      <c r="T109" s="49">
        <f>IFERROR(S109/$P109,0)</f>
        <v>0</v>
      </c>
      <c r="U109" s="48">
        <f>SUM(U108)</f>
        <v>0</v>
      </c>
      <c r="V109" s="49">
        <f>IFERROR(U109/$P109,0)</f>
        <v>0</v>
      </c>
      <c r="W109" s="48">
        <f>SUM(W108)</f>
        <v>0</v>
      </c>
      <c r="X109" s="49">
        <f>IFERROR(W109/$P109,0)</f>
        <v>0</v>
      </c>
      <c r="Y109" s="48">
        <f>SUM(Y108)</f>
        <v>634</v>
      </c>
      <c r="Z109" s="48">
        <f>SUM(Z108)</f>
        <v>634</v>
      </c>
    </row>
    <row r="110" spans="1:26" ht="13.9" customHeight="1" x14ac:dyDescent="0.25">
      <c r="A110" s="15">
        <v>1</v>
      </c>
      <c r="B110" s="15">
        <v>1</v>
      </c>
      <c r="C110" s="15">
        <v>6</v>
      </c>
      <c r="D110" s="86"/>
      <c r="E110" s="87"/>
      <c r="F110" s="27" t="s">
        <v>122</v>
      </c>
      <c r="G110" s="28">
        <f t="shared" ref="G110:Q110" si="67">G109</f>
        <v>328.99</v>
      </c>
      <c r="H110" s="28">
        <f t="shared" si="67"/>
        <v>889.25</v>
      </c>
      <c r="I110" s="28">
        <f t="shared" si="67"/>
        <v>755</v>
      </c>
      <c r="J110" s="28">
        <f t="shared" si="67"/>
        <v>1461</v>
      </c>
      <c r="K110" s="28">
        <f t="shared" si="67"/>
        <v>634</v>
      </c>
      <c r="L110" s="28">
        <f t="shared" si="67"/>
        <v>0</v>
      </c>
      <c r="M110" s="28">
        <f t="shared" si="67"/>
        <v>0</v>
      </c>
      <c r="N110" s="28">
        <f t="shared" si="67"/>
        <v>0</v>
      </c>
      <c r="O110" s="28">
        <f t="shared" si="67"/>
        <v>0</v>
      </c>
      <c r="P110" s="28">
        <f t="shared" si="67"/>
        <v>634</v>
      </c>
      <c r="Q110" s="28">
        <f t="shared" si="67"/>
        <v>366.33</v>
      </c>
      <c r="R110" s="29">
        <f>IFERROR(Q110/$P110,0)</f>
        <v>0.57780757097791791</v>
      </c>
      <c r="S110" s="28">
        <f>S109</f>
        <v>0</v>
      </c>
      <c r="T110" s="29">
        <f>IFERROR(S110/$P110,0)</f>
        <v>0</v>
      </c>
      <c r="U110" s="28">
        <f>U109</f>
        <v>0</v>
      </c>
      <c r="V110" s="29">
        <f>IFERROR(U110/$P110,0)</f>
        <v>0</v>
      </c>
      <c r="W110" s="28">
        <f>W109</f>
        <v>0</v>
      </c>
      <c r="X110" s="29">
        <f>IFERROR(W110/$P110,0)</f>
        <v>0</v>
      </c>
      <c r="Y110" s="28">
        <f>Y109</f>
        <v>634</v>
      </c>
      <c r="Z110" s="28">
        <f>Z109</f>
        <v>634</v>
      </c>
    </row>
    <row r="111" spans="1:26" ht="13.9" customHeight="1" x14ac:dyDescent="0.25">
      <c r="D111" s="88"/>
      <c r="E111" s="44"/>
      <c r="F111" s="44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90"/>
      <c r="S111" s="89"/>
      <c r="T111" s="90"/>
      <c r="U111" s="89"/>
      <c r="V111" s="90"/>
      <c r="W111" s="89"/>
      <c r="X111" s="90"/>
      <c r="Y111" s="89"/>
      <c r="Z111" s="89"/>
    </row>
    <row r="112" spans="1:26" ht="13.9" customHeight="1" x14ac:dyDescent="0.25">
      <c r="D112" s="4" t="s">
        <v>150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9" customHeight="1" x14ac:dyDescent="0.25">
      <c r="D113" s="21" t="s">
        <v>32</v>
      </c>
      <c r="E113" s="21" t="s">
        <v>33</v>
      </c>
      <c r="F113" s="21" t="s">
        <v>34</v>
      </c>
      <c r="G113" s="21" t="s">
        <v>1</v>
      </c>
      <c r="H113" s="21" t="s">
        <v>2</v>
      </c>
      <c r="I113" s="21" t="s">
        <v>3</v>
      </c>
      <c r="J113" s="21" t="s">
        <v>4</v>
      </c>
      <c r="K113" s="21" t="s">
        <v>5</v>
      </c>
      <c r="L113" s="21" t="s">
        <v>6</v>
      </c>
      <c r="M113" s="21" t="s">
        <v>7</v>
      </c>
      <c r="N113" s="21" t="s">
        <v>8</v>
      </c>
      <c r="O113" s="21" t="s">
        <v>9</v>
      </c>
      <c r="P113" s="21" t="s">
        <v>10</v>
      </c>
      <c r="Q113" s="21" t="s">
        <v>11</v>
      </c>
      <c r="R113" s="22" t="s">
        <v>12</v>
      </c>
      <c r="S113" s="21" t="s">
        <v>13</v>
      </c>
      <c r="T113" s="22" t="s">
        <v>14</v>
      </c>
      <c r="U113" s="21" t="s">
        <v>15</v>
      </c>
      <c r="V113" s="22" t="s">
        <v>16</v>
      </c>
      <c r="W113" s="21" t="s">
        <v>17</v>
      </c>
      <c r="X113" s="22" t="s">
        <v>18</v>
      </c>
      <c r="Y113" s="21" t="s">
        <v>19</v>
      </c>
      <c r="Z113" s="21" t="s">
        <v>20</v>
      </c>
    </row>
    <row r="114" spans="1:26" ht="13.9" customHeight="1" x14ac:dyDescent="0.25">
      <c r="A114" s="15">
        <v>1</v>
      </c>
      <c r="B114" s="15">
        <v>1</v>
      </c>
      <c r="C114" s="15">
        <v>7</v>
      </c>
      <c r="D114" s="3" t="s">
        <v>151</v>
      </c>
      <c r="E114" s="24">
        <v>610</v>
      </c>
      <c r="F114" s="24" t="s">
        <v>127</v>
      </c>
      <c r="G114" s="45">
        <v>4709.78</v>
      </c>
      <c r="H114" s="45">
        <v>5181.41</v>
      </c>
      <c r="I114" s="25">
        <v>5154</v>
      </c>
      <c r="J114" s="25">
        <v>5146</v>
      </c>
      <c r="K114" s="25">
        <v>5154</v>
      </c>
      <c r="L114" s="25">
        <v>279</v>
      </c>
      <c r="M114" s="25"/>
      <c r="N114" s="25"/>
      <c r="O114" s="25"/>
      <c r="P114" s="45">
        <f>K114+SUM(L114:O114)</f>
        <v>5433</v>
      </c>
      <c r="Q114" s="45">
        <v>1372.97</v>
      </c>
      <c r="R114" s="46">
        <f t="shared" ref="R114:R125" si="68">IFERROR(Q114/$P114,0)</f>
        <v>0.25270936867292471</v>
      </c>
      <c r="S114" s="45"/>
      <c r="T114" s="46">
        <f t="shared" ref="T114:T125" si="69">IFERROR(S114/$P114,0)</f>
        <v>0</v>
      </c>
      <c r="U114" s="45"/>
      <c r="V114" s="46">
        <f t="shared" ref="V114:V125" si="70">IFERROR(U114/$P114,0)</f>
        <v>0</v>
      </c>
      <c r="W114" s="45"/>
      <c r="X114" s="46">
        <f t="shared" ref="X114:X125" si="71">IFERROR(W114/$P114,0)</f>
        <v>0</v>
      </c>
      <c r="Y114" s="25">
        <f>K114</f>
        <v>5154</v>
      </c>
      <c r="Z114" s="25">
        <f>Y114</f>
        <v>5154</v>
      </c>
    </row>
    <row r="115" spans="1:26" ht="13.9" customHeight="1" x14ac:dyDescent="0.25">
      <c r="A115" s="15">
        <v>1</v>
      </c>
      <c r="B115" s="15">
        <v>1</v>
      </c>
      <c r="C115" s="15">
        <v>7</v>
      </c>
      <c r="D115" s="3"/>
      <c r="E115" s="24">
        <v>620</v>
      </c>
      <c r="F115" s="24" t="s">
        <v>128</v>
      </c>
      <c r="G115" s="45">
        <v>1648.28</v>
      </c>
      <c r="H115" s="45">
        <v>1820.53</v>
      </c>
      <c r="I115" s="25">
        <v>1854</v>
      </c>
      <c r="J115" s="25">
        <v>1998</v>
      </c>
      <c r="K115" s="25">
        <v>1854</v>
      </c>
      <c r="L115" s="25">
        <v>109</v>
      </c>
      <c r="M115" s="25"/>
      <c r="N115" s="25"/>
      <c r="O115" s="25"/>
      <c r="P115" s="45">
        <f>K115+SUM(L115:O115)</f>
        <v>1963</v>
      </c>
      <c r="Q115" s="45">
        <v>494.03</v>
      </c>
      <c r="R115" s="46">
        <f t="shared" si="68"/>
        <v>0.25167091186958734</v>
      </c>
      <c r="S115" s="45"/>
      <c r="T115" s="46">
        <f t="shared" si="69"/>
        <v>0</v>
      </c>
      <c r="U115" s="45"/>
      <c r="V115" s="46">
        <f t="shared" si="70"/>
        <v>0</v>
      </c>
      <c r="W115" s="45"/>
      <c r="X115" s="46">
        <f t="shared" si="71"/>
        <v>0</v>
      </c>
      <c r="Y115" s="25">
        <f>K115</f>
        <v>1854</v>
      </c>
      <c r="Z115" s="25">
        <f>Y115</f>
        <v>1854</v>
      </c>
    </row>
    <row r="116" spans="1:26" ht="13.9" customHeight="1" x14ac:dyDescent="0.25">
      <c r="A116" s="15">
        <v>1</v>
      </c>
      <c r="B116" s="15">
        <v>1</v>
      </c>
      <c r="C116" s="15">
        <v>7</v>
      </c>
      <c r="D116" s="3"/>
      <c r="E116" s="24">
        <v>630</v>
      </c>
      <c r="F116" s="24" t="s">
        <v>129</v>
      </c>
      <c r="G116" s="45">
        <v>819.92</v>
      </c>
      <c r="H116" s="45">
        <v>798.01</v>
      </c>
      <c r="I116" s="45">
        <v>797</v>
      </c>
      <c r="J116" s="45">
        <v>1564</v>
      </c>
      <c r="K116" s="45">
        <v>841</v>
      </c>
      <c r="L116" s="45">
        <v>27</v>
      </c>
      <c r="M116" s="45"/>
      <c r="N116" s="45"/>
      <c r="O116" s="45"/>
      <c r="P116" s="45">
        <f>K116+SUM(L116:O116)</f>
        <v>868</v>
      </c>
      <c r="Q116" s="45">
        <v>124.92</v>
      </c>
      <c r="R116" s="46">
        <f t="shared" si="68"/>
        <v>0.14391705069124425</v>
      </c>
      <c r="S116" s="45"/>
      <c r="T116" s="46">
        <f t="shared" si="69"/>
        <v>0</v>
      </c>
      <c r="U116" s="45"/>
      <c r="V116" s="46">
        <f t="shared" si="70"/>
        <v>0</v>
      </c>
      <c r="W116" s="45"/>
      <c r="X116" s="46">
        <f t="shared" si="71"/>
        <v>0</v>
      </c>
      <c r="Y116" s="25">
        <f>K116</f>
        <v>841</v>
      </c>
      <c r="Z116" s="25">
        <f>Y116</f>
        <v>841</v>
      </c>
    </row>
    <row r="117" spans="1:26" ht="13.9" customHeight="1" x14ac:dyDescent="0.25">
      <c r="A117" s="15">
        <v>1</v>
      </c>
      <c r="B117" s="15">
        <v>1</v>
      </c>
      <c r="C117" s="15">
        <v>7</v>
      </c>
      <c r="D117" s="79" t="s">
        <v>21</v>
      </c>
      <c r="E117" s="47">
        <v>111</v>
      </c>
      <c r="F117" s="47" t="s">
        <v>132</v>
      </c>
      <c r="G117" s="99">
        <f t="shared" ref="G117:Q117" si="72">SUM(G114:G116)</f>
        <v>7177.98</v>
      </c>
      <c r="H117" s="99">
        <f t="shared" si="72"/>
        <v>7799.95</v>
      </c>
      <c r="I117" s="99">
        <f t="shared" si="72"/>
        <v>7805</v>
      </c>
      <c r="J117" s="99">
        <f t="shared" si="72"/>
        <v>8708</v>
      </c>
      <c r="K117" s="99">
        <f t="shared" si="72"/>
        <v>7849</v>
      </c>
      <c r="L117" s="99">
        <f t="shared" si="72"/>
        <v>415</v>
      </c>
      <c r="M117" s="99">
        <f t="shared" si="72"/>
        <v>0</v>
      </c>
      <c r="N117" s="99">
        <f t="shared" si="72"/>
        <v>0</v>
      </c>
      <c r="O117" s="99">
        <f t="shared" si="72"/>
        <v>0</v>
      </c>
      <c r="P117" s="99">
        <f t="shared" si="72"/>
        <v>8264</v>
      </c>
      <c r="Q117" s="99">
        <f t="shared" si="72"/>
        <v>1991.92</v>
      </c>
      <c r="R117" s="100">
        <f t="shared" si="68"/>
        <v>0.24103581800580834</v>
      </c>
      <c r="S117" s="99">
        <f>SUM(S114:S116)</f>
        <v>0</v>
      </c>
      <c r="T117" s="100">
        <f t="shared" si="69"/>
        <v>0</v>
      </c>
      <c r="U117" s="99">
        <f>SUM(U114:U116)</f>
        <v>0</v>
      </c>
      <c r="V117" s="100">
        <f t="shared" si="70"/>
        <v>0</v>
      </c>
      <c r="W117" s="99">
        <f>SUM(W114:W116)</f>
        <v>0</v>
      </c>
      <c r="X117" s="100">
        <f t="shared" si="71"/>
        <v>0</v>
      </c>
      <c r="Y117" s="48">
        <f>SUM(Y114:Y116)</f>
        <v>7849</v>
      </c>
      <c r="Z117" s="48">
        <f>SUM(Z114:Z116)</f>
        <v>7849</v>
      </c>
    </row>
    <row r="118" spans="1:26" ht="13.9" customHeight="1" x14ac:dyDescent="0.25">
      <c r="A118" s="15">
        <v>1</v>
      </c>
      <c r="B118" s="15">
        <v>1</v>
      </c>
      <c r="C118" s="15">
        <v>7</v>
      </c>
      <c r="D118" s="3" t="s">
        <v>151</v>
      </c>
      <c r="E118" s="24">
        <v>610</v>
      </c>
      <c r="F118" s="24" t="s">
        <v>127</v>
      </c>
      <c r="G118" s="45">
        <v>1665.88</v>
      </c>
      <c r="H118" s="45">
        <v>1740.52</v>
      </c>
      <c r="I118" s="25">
        <v>2432</v>
      </c>
      <c r="J118" s="25">
        <v>1086</v>
      </c>
      <c r="K118" s="25">
        <v>2044</v>
      </c>
      <c r="L118" s="25"/>
      <c r="M118" s="25"/>
      <c r="N118" s="25"/>
      <c r="O118" s="25"/>
      <c r="P118" s="45">
        <f>K118+SUM(L118:O118)</f>
        <v>2044</v>
      </c>
      <c r="Q118" s="45">
        <v>0.01</v>
      </c>
      <c r="R118" s="46">
        <f t="shared" si="68"/>
        <v>4.8923679060665363E-6</v>
      </c>
      <c r="S118" s="45"/>
      <c r="T118" s="46">
        <f t="shared" si="69"/>
        <v>0</v>
      </c>
      <c r="U118" s="45"/>
      <c r="V118" s="46">
        <f t="shared" si="70"/>
        <v>0</v>
      </c>
      <c r="W118" s="45"/>
      <c r="X118" s="46">
        <f t="shared" si="71"/>
        <v>0</v>
      </c>
      <c r="Y118" s="25">
        <v>2128</v>
      </c>
      <c r="Z118" s="25">
        <v>2217</v>
      </c>
    </row>
    <row r="119" spans="1:26" ht="13.9" customHeight="1" x14ac:dyDescent="0.25">
      <c r="A119" s="15">
        <v>1</v>
      </c>
      <c r="B119" s="15">
        <v>1</v>
      </c>
      <c r="C119" s="15">
        <v>7</v>
      </c>
      <c r="D119" s="3"/>
      <c r="E119" s="24">
        <v>620</v>
      </c>
      <c r="F119" s="24" t="s">
        <v>128</v>
      </c>
      <c r="G119" s="45">
        <v>723.38</v>
      </c>
      <c r="H119" s="45">
        <v>826.82</v>
      </c>
      <c r="I119" s="25">
        <v>1176</v>
      </c>
      <c r="J119" s="25">
        <v>509</v>
      </c>
      <c r="K119" s="25">
        <v>1029</v>
      </c>
      <c r="L119" s="25"/>
      <c r="M119" s="25"/>
      <c r="N119" s="25"/>
      <c r="O119" s="25"/>
      <c r="P119" s="45">
        <f>K119+SUM(L119:O119)</f>
        <v>1029</v>
      </c>
      <c r="Q119" s="45">
        <v>39</v>
      </c>
      <c r="R119" s="46">
        <f t="shared" si="68"/>
        <v>3.7900874635568516E-2</v>
      </c>
      <c r="S119" s="45"/>
      <c r="T119" s="46">
        <f t="shared" si="69"/>
        <v>0</v>
      </c>
      <c r="U119" s="45"/>
      <c r="V119" s="46">
        <f t="shared" si="70"/>
        <v>0</v>
      </c>
      <c r="W119" s="45"/>
      <c r="X119" s="46">
        <f t="shared" si="71"/>
        <v>0</v>
      </c>
      <c r="Y119" s="25">
        <v>1062</v>
      </c>
      <c r="Z119" s="25">
        <v>1094</v>
      </c>
    </row>
    <row r="120" spans="1:26" ht="13.9" customHeight="1" x14ac:dyDescent="0.25">
      <c r="A120" s="15">
        <v>1</v>
      </c>
      <c r="B120" s="15">
        <v>1</v>
      </c>
      <c r="C120" s="15">
        <v>7</v>
      </c>
      <c r="D120" s="3"/>
      <c r="E120" s="24">
        <v>630</v>
      </c>
      <c r="F120" s="24" t="s">
        <v>129</v>
      </c>
      <c r="G120" s="45">
        <v>1462.27</v>
      </c>
      <c r="H120" s="45">
        <v>1487.62</v>
      </c>
      <c r="I120" s="25">
        <v>1292</v>
      </c>
      <c r="J120" s="25">
        <v>1035</v>
      </c>
      <c r="K120" s="25">
        <f>1176+65</f>
        <v>1241</v>
      </c>
      <c r="L120" s="25"/>
      <c r="M120" s="25"/>
      <c r="N120" s="25"/>
      <c r="O120" s="25"/>
      <c r="P120" s="45">
        <f>K120+SUM(L120:O120)</f>
        <v>1241</v>
      </c>
      <c r="Q120" s="45">
        <v>157.49</v>
      </c>
      <c r="R120" s="46">
        <f t="shared" si="68"/>
        <v>0.12690572119258664</v>
      </c>
      <c r="S120" s="45"/>
      <c r="T120" s="46">
        <f t="shared" si="69"/>
        <v>0</v>
      </c>
      <c r="U120" s="45"/>
      <c r="V120" s="46">
        <f t="shared" si="70"/>
        <v>0</v>
      </c>
      <c r="W120" s="45"/>
      <c r="X120" s="46">
        <f t="shared" si="71"/>
        <v>0</v>
      </c>
      <c r="Y120" s="25">
        <f>1216+65</f>
        <v>1281</v>
      </c>
      <c r="Z120" s="25">
        <f>1315+65</f>
        <v>1380</v>
      </c>
    </row>
    <row r="121" spans="1:26" ht="13.9" customHeight="1" x14ac:dyDescent="0.25">
      <c r="A121" s="15">
        <v>1</v>
      </c>
      <c r="B121" s="15">
        <v>1</v>
      </c>
      <c r="C121" s="15">
        <v>7</v>
      </c>
      <c r="D121" s="3"/>
      <c r="E121" s="24">
        <v>640</v>
      </c>
      <c r="F121" s="24" t="s">
        <v>130</v>
      </c>
      <c r="G121" s="25">
        <v>0</v>
      </c>
      <c r="H121" s="25">
        <v>0</v>
      </c>
      <c r="I121" s="25">
        <v>0</v>
      </c>
      <c r="J121" s="25">
        <v>97</v>
      </c>
      <c r="K121" s="25">
        <v>0</v>
      </c>
      <c r="L121" s="25"/>
      <c r="M121" s="25"/>
      <c r="N121" s="25"/>
      <c r="O121" s="25"/>
      <c r="P121" s="25">
        <f>K121+SUM(L121:O121)</f>
        <v>0</v>
      </c>
      <c r="Q121" s="25">
        <v>0</v>
      </c>
      <c r="R121" s="26">
        <f t="shared" si="68"/>
        <v>0</v>
      </c>
      <c r="S121" s="25"/>
      <c r="T121" s="26">
        <f t="shared" si="69"/>
        <v>0</v>
      </c>
      <c r="U121" s="25"/>
      <c r="V121" s="26">
        <f t="shared" si="70"/>
        <v>0</v>
      </c>
      <c r="W121" s="25"/>
      <c r="X121" s="26">
        <f t="shared" si="71"/>
        <v>0</v>
      </c>
      <c r="Y121" s="25">
        <f>K121</f>
        <v>0</v>
      </c>
      <c r="Z121" s="25">
        <f>Y121</f>
        <v>0</v>
      </c>
    </row>
    <row r="122" spans="1:26" ht="13.9" customHeight="1" x14ac:dyDescent="0.25">
      <c r="A122" s="15">
        <v>1</v>
      </c>
      <c r="B122" s="15">
        <v>1</v>
      </c>
      <c r="C122" s="15">
        <v>7</v>
      </c>
      <c r="D122" s="79" t="s">
        <v>21</v>
      </c>
      <c r="E122" s="47">
        <v>41</v>
      </c>
      <c r="F122" s="47" t="s">
        <v>23</v>
      </c>
      <c r="G122" s="48">
        <f t="shared" ref="G122:Q122" si="73">SUM(G118:G121)</f>
        <v>3851.53</v>
      </c>
      <c r="H122" s="48">
        <f t="shared" si="73"/>
        <v>4054.96</v>
      </c>
      <c r="I122" s="48">
        <f t="shared" si="73"/>
        <v>4900</v>
      </c>
      <c r="J122" s="48">
        <f t="shared" si="73"/>
        <v>2727</v>
      </c>
      <c r="K122" s="48">
        <f t="shared" si="73"/>
        <v>4314</v>
      </c>
      <c r="L122" s="48">
        <f t="shared" si="73"/>
        <v>0</v>
      </c>
      <c r="M122" s="48">
        <f t="shared" si="73"/>
        <v>0</v>
      </c>
      <c r="N122" s="48">
        <f t="shared" si="73"/>
        <v>0</v>
      </c>
      <c r="O122" s="48">
        <f t="shared" si="73"/>
        <v>0</v>
      </c>
      <c r="P122" s="48">
        <f t="shared" si="73"/>
        <v>4314</v>
      </c>
      <c r="Q122" s="48">
        <f t="shared" si="73"/>
        <v>196.5</v>
      </c>
      <c r="R122" s="49">
        <f t="shared" si="68"/>
        <v>4.5549374130737133E-2</v>
      </c>
      <c r="S122" s="48">
        <f>SUM(S118:S121)</f>
        <v>0</v>
      </c>
      <c r="T122" s="49">
        <f t="shared" si="69"/>
        <v>0</v>
      </c>
      <c r="U122" s="48">
        <f>SUM(U118:U121)</f>
        <v>0</v>
      </c>
      <c r="V122" s="49">
        <f t="shared" si="70"/>
        <v>0</v>
      </c>
      <c r="W122" s="48">
        <f>SUM(W118:W121)</f>
        <v>0</v>
      </c>
      <c r="X122" s="49">
        <f t="shared" si="71"/>
        <v>0</v>
      </c>
      <c r="Y122" s="48">
        <f>SUM(Y118:Y121)</f>
        <v>4471</v>
      </c>
      <c r="Z122" s="48">
        <f>SUM(Z118:Z121)</f>
        <v>4691</v>
      </c>
    </row>
    <row r="123" spans="1:26" ht="13.9" customHeight="1" x14ac:dyDescent="0.25">
      <c r="A123" s="15">
        <v>1</v>
      </c>
      <c r="B123" s="15">
        <v>1</v>
      </c>
      <c r="C123" s="15">
        <v>7</v>
      </c>
      <c r="D123" s="91" t="s">
        <v>151</v>
      </c>
      <c r="E123" s="24">
        <v>640</v>
      </c>
      <c r="F123" s="24" t="s">
        <v>130</v>
      </c>
      <c r="G123" s="25">
        <v>110.54</v>
      </c>
      <c r="H123" s="25">
        <v>98.5</v>
      </c>
      <c r="I123" s="25">
        <v>76</v>
      </c>
      <c r="J123" s="25">
        <v>72</v>
      </c>
      <c r="K123" s="25">
        <v>72</v>
      </c>
      <c r="L123" s="25"/>
      <c r="M123" s="25"/>
      <c r="N123" s="25"/>
      <c r="O123" s="25"/>
      <c r="P123" s="25">
        <f>K123+SUM(L123:O123)</f>
        <v>72</v>
      </c>
      <c r="Q123" s="25">
        <v>0</v>
      </c>
      <c r="R123" s="26">
        <f t="shared" si="68"/>
        <v>0</v>
      </c>
      <c r="S123" s="25"/>
      <c r="T123" s="26">
        <f t="shared" si="69"/>
        <v>0</v>
      </c>
      <c r="U123" s="25"/>
      <c r="V123" s="26">
        <f t="shared" si="70"/>
        <v>0</v>
      </c>
      <c r="W123" s="25"/>
      <c r="X123" s="26">
        <f t="shared" si="71"/>
        <v>0</v>
      </c>
      <c r="Y123" s="25">
        <f>K123</f>
        <v>72</v>
      </c>
      <c r="Z123" s="25">
        <f>Y123</f>
        <v>72</v>
      </c>
    </row>
    <row r="124" spans="1:26" ht="13.9" customHeight="1" x14ac:dyDescent="0.25">
      <c r="A124" s="15">
        <v>1</v>
      </c>
      <c r="B124" s="15">
        <v>1</v>
      </c>
      <c r="C124" s="15">
        <v>7</v>
      </c>
      <c r="D124" s="79" t="s">
        <v>21</v>
      </c>
      <c r="E124" s="47">
        <v>72</v>
      </c>
      <c r="F124" s="47" t="s">
        <v>25</v>
      </c>
      <c r="G124" s="48">
        <f t="shared" ref="G124:Q124" si="74">SUM(G123)</f>
        <v>110.54</v>
      </c>
      <c r="H124" s="48">
        <f t="shared" si="74"/>
        <v>98.5</v>
      </c>
      <c r="I124" s="48">
        <f t="shared" si="74"/>
        <v>76</v>
      </c>
      <c r="J124" s="48">
        <f t="shared" si="74"/>
        <v>72</v>
      </c>
      <c r="K124" s="48">
        <f t="shared" si="74"/>
        <v>72</v>
      </c>
      <c r="L124" s="48">
        <f t="shared" si="74"/>
        <v>0</v>
      </c>
      <c r="M124" s="48">
        <f t="shared" si="74"/>
        <v>0</v>
      </c>
      <c r="N124" s="48">
        <f t="shared" si="74"/>
        <v>0</v>
      </c>
      <c r="O124" s="48">
        <f t="shared" si="74"/>
        <v>0</v>
      </c>
      <c r="P124" s="48">
        <f t="shared" si="74"/>
        <v>72</v>
      </c>
      <c r="Q124" s="48">
        <f t="shared" si="74"/>
        <v>0</v>
      </c>
      <c r="R124" s="49">
        <f t="shared" si="68"/>
        <v>0</v>
      </c>
      <c r="S124" s="48">
        <f>SUM(S123)</f>
        <v>0</v>
      </c>
      <c r="T124" s="49">
        <f t="shared" si="69"/>
        <v>0</v>
      </c>
      <c r="U124" s="48">
        <f>SUM(U123)</f>
        <v>0</v>
      </c>
      <c r="V124" s="49">
        <f t="shared" si="70"/>
        <v>0</v>
      </c>
      <c r="W124" s="48">
        <f>SUM(W123)</f>
        <v>0</v>
      </c>
      <c r="X124" s="49">
        <f t="shared" si="71"/>
        <v>0</v>
      </c>
      <c r="Y124" s="48">
        <f>SUM(Y123)</f>
        <v>72</v>
      </c>
      <c r="Z124" s="48">
        <f>SUM(Z123)</f>
        <v>72</v>
      </c>
    </row>
    <row r="125" spans="1:26" ht="13.9" customHeight="1" x14ac:dyDescent="0.25">
      <c r="A125" s="15">
        <v>1</v>
      </c>
      <c r="B125" s="15">
        <v>1</v>
      </c>
      <c r="C125" s="15">
        <v>7</v>
      </c>
      <c r="D125" s="30"/>
      <c r="E125" s="31"/>
      <c r="F125" s="27" t="s">
        <v>122</v>
      </c>
      <c r="G125" s="28">
        <f t="shared" ref="G125:Q125" si="75">G117+G122+G124</f>
        <v>11140.050000000001</v>
      </c>
      <c r="H125" s="28">
        <f t="shared" si="75"/>
        <v>11953.41</v>
      </c>
      <c r="I125" s="28">
        <f t="shared" si="75"/>
        <v>12781</v>
      </c>
      <c r="J125" s="28">
        <f t="shared" si="75"/>
        <v>11507</v>
      </c>
      <c r="K125" s="28">
        <f t="shared" si="75"/>
        <v>12235</v>
      </c>
      <c r="L125" s="28">
        <f t="shared" si="75"/>
        <v>415</v>
      </c>
      <c r="M125" s="28">
        <f t="shared" si="75"/>
        <v>0</v>
      </c>
      <c r="N125" s="28">
        <f t="shared" si="75"/>
        <v>0</v>
      </c>
      <c r="O125" s="28">
        <f t="shared" si="75"/>
        <v>0</v>
      </c>
      <c r="P125" s="28">
        <f t="shared" si="75"/>
        <v>12650</v>
      </c>
      <c r="Q125" s="28">
        <f t="shared" si="75"/>
        <v>2188.42</v>
      </c>
      <c r="R125" s="29">
        <f t="shared" si="68"/>
        <v>0.17299762845849803</v>
      </c>
      <c r="S125" s="28">
        <f>S117+S122+S124</f>
        <v>0</v>
      </c>
      <c r="T125" s="29">
        <f t="shared" si="69"/>
        <v>0</v>
      </c>
      <c r="U125" s="28">
        <f>U117+U122+U124</f>
        <v>0</v>
      </c>
      <c r="V125" s="29">
        <f t="shared" si="70"/>
        <v>0</v>
      </c>
      <c r="W125" s="28">
        <f>W117+W122+W124</f>
        <v>0</v>
      </c>
      <c r="X125" s="29">
        <f t="shared" si="71"/>
        <v>0</v>
      </c>
      <c r="Y125" s="28">
        <f>Y117+Y122+Y124</f>
        <v>12392</v>
      </c>
      <c r="Z125" s="28">
        <f>Z117+Z122+Z124</f>
        <v>12612</v>
      </c>
    </row>
    <row r="127" spans="1:26" ht="13.9" customHeight="1" x14ac:dyDescent="0.25">
      <c r="D127" s="5" t="s">
        <v>152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9" customHeight="1" x14ac:dyDescent="0.25">
      <c r="D128" s="21" t="s">
        <v>32</v>
      </c>
      <c r="E128" s="21" t="s">
        <v>33</v>
      </c>
      <c r="F128" s="21" t="s">
        <v>34</v>
      </c>
      <c r="G128" s="21" t="s">
        <v>1</v>
      </c>
      <c r="H128" s="21" t="s">
        <v>2</v>
      </c>
      <c r="I128" s="21" t="s">
        <v>3</v>
      </c>
      <c r="J128" s="21" t="s">
        <v>4</v>
      </c>
      <c r="K128" s="21" t="s">
        <v>5</v>
      </c>
      <c r="L128" s="21" t="s">
        <v>6</v>
      </c>
      <c r="M128" s="21" t="s">
        <v>7</v>
      </c>
      <c r="N128" s="21" t="s">
        <v>8</v>
      </c>
      <c r="O128" s="21" t="s">
        <v>9</v>
      </c>
      <c r="P128" s="21" t="s">
        <v>10</v>
      </c>
      <c r="Q128" s="21" t="s">
        <v>11</v>
      </c>
      <c r="R128" s="22" t="s">
        <v>12</v>
      </c>
      <c r="S128" s="21" t="s">
        <v>13</v>
      </c>
      <c r="T128" s="22" t="s">
        <v>14</v>
      </c>
      <c r="U128" s="21" t="s">
        <v>15</v>
      </c>
      <c r="V128" s="22" t="s">
        <v>16</v>
      </c>
      <c r="W128" s="21" t="s">
        <v>17</v>
      </c>
      <c r="X128" s="22" t="s">
        <v>18</v>
      </c>
      <c r="Y128" s="21" t="s">
        <v>19</v>
      </c>
      <c r="Z128" s="21" t="s">
        <v>20</v>
      </c>
    </row>
    <row r="129" spans="1:26" ht="13.9" customHeight="1" x14ac:dyDescent="0.25">
      <c r="A129" s="15">
        <v>1</v>
      </c>
      <c r="B129" s="15">
        <v>2</v>
      </c>
      <c r="D129" s="24" t="s">
        <v>126</v>
      </c>
      <c r="E129" s="24">
        <v>640</v>
      </c>
      <c r="F129" s="24" t="s">
        <v>86</v>
      </c>
      <c r="G129" s="25">
        <v>4966.72</v>
      </c>
      <c r="H129" s="25">
        <v>139.06</v>
      </c>
      <c r="I129" s="25">
        <v>139</v>
      </c>
      <c r="J129" s="25">
        <v>5400</v>
      </c>
      <c r="K129" s="25">
        <f>príjmy!H99+príjmy!H100</f>
        <v>5400</v>
      </c>
      <c r="L129" s="25"/>
      <c r="M129" s="25"/>
      <c r="N129" s="25"/>
      <c r="O129" s="25"/>
      <c r="P129" s="25">
        <f>K129+SUM(L129:O129)</f>
        <v>5400</v>
      </c>
      <c r="Q129" s="25">
        <v>0</v>
      </c>
      <c r="R129" s="26">
        <f t="shared" ref="R129:R134" si="76">IFERROR(Q129/$P129,0)</f>
        <v>0</v>
      </c>
      <c r="S129" s="25"/>
      <c r="T129" s="26">
        <f t="shared" ref="T129:T134" si="77">IFERROR(S129/$P129,0)</f>
        <v>0</v>
      </c>
      <c r="U129" s="25"/>
      <c r="V129" s="26">
        <f t="shared" ref="V129:V134" si="78">IFERROR(U129/$P129,0)</f>
        <v>0</v>
      </c>
      <c r="W129" s="25"/>
      <c r="X129" s="26">
        <f t="shared" ref="X129:X134" si="79">IFERROR(W129/$P129,0)</f>
        <v>0</v>
      </c>
      <c r="Y129" s="25">
        <f>príjmy!V99+príjmy!V100</f>
        <v>5400</v>
      </c>
      <c r="Z129" s="25">
        <f>príjmy!W99+príjmy!W100</f>
        <v>5400</v>
      </c>
    </row>
    <row r="130" spans="1:26" ht="13.9" customHeight="1" x14ac:dyDescent="0.25">
      <c r="A130" s="15">
        <v>1</v>
      </c>
      <c r="B130" s="15">
        <v>2</v>
      </c>
      <c r="D130" s="79" t="s">
        <v>21</v>
      </c>
      <c r="E130" s="47">
        <v>111</v>
      </c>
      <c r="F130" s="47" t="s">
        <v>132</v>
      </c>
      <c r="G130" s="48">
        <f t="shared" ref="G130:Q130" si="80">SUM(G129)</f>
        <v>4966.72</v>
      </c>
      <c r="H130" s="48">
        <f t="shared" si="80"/>
        <v>139.06</v>
      </c>
      <c r="I130" s="48">
        <f t="shared" si="80"/>
        <v>139</v>
      </c>
      <c r="J130" s="48">
        <f t="shared" si="80"/>
        <v>5400</v>
      </c>
      <c r="K130" s="48">
        <f t="shared" si="80"/>
        <v>5400</v>
      </c>
      <c r="L130" s="48">
        <f t="shared" si="80"/>
        <v>0</v>
      </c>
      <c r="M130" s="48">
        <f t="shared" si="80"/>
        <v>0</v>
      </c>
      <c r="N130" s="48">
        <f t="shared" si="80"/>
        <v>0</v>
      </c>
      <c r="O130" s="48">
        <f t="shared" si="80"/>
        <v>0</v>
      </c>
      <c r="P130" s="48">
        <f t="shared" si="80"/>
        <v>5400</v>
      </c>
      <c r="Q130" s="48">
        <f t="shared" si="80"/>
        <v>0</v>
      </c>
      <c r="R130" s="49">
        <f t="shared" si="76"/>
        <v>0</v>
      </c>
      <c r="S130" s="48">
        <f>SUM(S129)</f>
        <v>0</v>
      </c>
      <c r="T130" s="49">
        <f t="shared" si="77"/>
        <v>0</v>
      </c>
      <c r="U130" s="48">
        <f>SUM(U129)</f>
        <v>0</v>
      </c>
      <c r="V130" s="49">
        <f t="shared" si="78"/>
        <v>0</v>
      </c>
      <c r="W130" s="48">
        <f>SUM(W129)</f>
        <v>0</v>
      </c>
      <c r="X130" s="49">
        <f t="shared" si="79"/>
        <v>0</v>
      </c>
      <c r="Y130" s="48">
        <f>SUM(Y129)</f>
        <v>5400</v>
      </c>
      <c r="Z130" s="48">
        <f>SUM(Z129)</f>
        <v>5400</v>
      </c>
    </row>
    <row r="131" spans="1:26" ht="13.9" customHeight="1" x14ac:dyDescent="0.25">
      <c r="A131" s="15">
        <v>1</v>
      </c>
      <c r="B131" s="15">
        <v>2</v>
      </c>
      <c r="D131" s="43" t="s">
        <v>153</v>
      </c>
      <c r="E131" s="24">
        <v>640</v>
      </c>
      <c r="F131" s="24" t="s">
        <v>154</v>
      </c>
      <c r="G131" s="25">
        <v>250.09</v>
      </c>
      <c r="H131" s="25">
        <v>178.25</v>
      </c>
      <c r="I131" s="25">
        <v>40</v>
      </c>
      <c r="J131" s="25">
        <v>40</v>
      </c>
      <c r="K131" s="25">
        <v>40</v>
      </c>
      <c r="L131" s="25"/>
      <c r="M131" s="25"/>
      <c r="N131" s="25"/>
      <c r="O131" s="25"/>
      <c r="P131" s="25">
        <f>K131+SUM(L131:O131)</f>
        <v>40</v>
      </c>
      <c r="Q131" s="25">
        <v>39.82</v>
      </c>
      <c r="R131" s="26">
        <f t="shared" si="76"/>
        <v>0.99550000000000005</v>
      </c>
      <c r="S131" s="25"/>
      <c r="T131" s="26">
        <f t="shared" si="77"/>
        <v>0</v>
      </c>
      <c r="U131" s="25"/>
      <c r="V131" s="26">
        <f t="shared" si="78"/>
        <v>0</v>
      </c>
      <c r="W131" s="25"/>
      <c r="X131" s="26">
        <f t="shared" si="79"/>
        <v>0</v>
      </c>
      <c r="Y131" s="25">
        <f>K131</f>
        <v>40</v>
      </c>
      <c r="Z131" s="25">
        <f>Y131</f>
        <v>40</v>
      </c>
    </row>
    <row r="132" spans="1:26" ht="13.9" customHeight="1" x14ac:dyDescent="0.25">
      <c r="A132" s="15">
        <v>1</v>
      </c>
      <c r="B132" s="15">
        <v>2</v>
      </c>
      <c r="D132" s="24" t="s">
        <v>126</v>
      </c>
      <c r="E132" s="24">
        <v>640</v>
      </c>
      <c r="F132" s="24" t="s">
        <v>86</v>
      </c>
      <c r="G132" s="25">
        <v>8825.44</v>
      </c>
      <c r="H132" s="25">
        <v>10264.01</v>
      </c>
      <c r="I132" s="25">
        <v>12222</v>
      </c>
      <c r="J132" s="25">
        <v>12407</v>
      </c>
      <c r="K132" s="45">
        <v>12410</v>
      </c>
      <c r="L132" s="25"/>
      <c r="M132" s="25"/>
      <c r="N132" s="25"/>
      <c r="O132" s="25"/>
      <c r="P132" s="25">
        <f>K132+SUM(L132:O132)</f>
        <v>12410</v>
      </c>
      <c r="Q132" s="25">
        <v>4452.6000000000004</v>
      </c>
      <c r="R132" s="26">
        <f t="shared" si="76"/>
        <v>0.35879129734085419</v>
      </c>
      <c r="S132" s="25"/>
      <c r="T132" s="26">
        <f t="shared" si="77"/>
        <v>0</v>
      </c>
      <c r="U132" s="25"/>
      <c r="V132" s="26">
        <f t="shared" si="78"/>
        <v>0</v>
      </c>
      <c r="W132" s="25"/>
      <c r="X132" s="26">
        <f t="shared" si="79"/>
        <v>0</v>
      </c>
      <c r="Y132" s="25">
        <f>K132</f>
        <v>12410</v>
      </c>
      <c r="Z132" s="25">
        <f>Y132</f>
        <v>12410</v>
      </c>
    </row>
    <row r="133" spans="1:26" ht="13.9" customHeight="1" x14ac:dyDescent="0.25">
      <c r="A133" s="15">
        <v>1</v>
      </c>
      <c r="B133" s="15">
        <v>2</v>
      </c>
      <c r="D133" s="79" t="s">
        <v>21</v>
      </c>
      <c r="E133" s="47">
        <v>41</v>
      </c>
      <c r="F133" s="47" t="s">
        <v>23</v>
      </c>
      <c r="G133" s="48">
        <f t="shared" ref="G133:Q133" si="81">SUM(G131:G132)</f>
        <v>9075.5300000000007</v>
      </c>
      <c r="H133" s="48">
        <f t="shared" si="81"/>
        <v>10442.26</v>
      </c>
      <c r="I133" s="48">
        <f t="shared" si="81"/>
        <v>12262</v>
      </c>
      <c r="J133" s="48">
        <f t="shared" si="81"/>
        <v>12447</v>
      </c>
      <c r="K133" s="48">
        <f t="shared" si="81"/>
        <v>12450</v>
      </c>
      <c r="L133" s="48">
        <f t="shared" si="81"/>
        <v>0</v>
      </c>
      <c r="M133" s="48">
        <f t="shared" si="81"/>
        <v>0</v>
      </c>
      <c r="N133" s="48">
        <f t="shared" si="81"/>
        <v>0</v>
      </c>
      <c r="O133" s="48">
        <f t="shared" si="81"/>
        <v>0</v>
      </c>
      <c r="P133" s="48">
        <f t="shared" si="81"/>
        <v>12450</v>
      </c>
      <c r="Q133" s="48">
        <f t="shared" si="81"/>
        <v>4492.42</v>
      </c>
      <c r="R133" s="49">
        <f t="shared" si="76"/>
        <v>0.36083694779116465</v>
      </c>
      <c r="S133" s="48">
        <f>SUM(S131:S132)</f>
        <v>0</v>
      </c>
      <c r="T133" s="49">
        <f t="shared" si="77"/>
        <v>0</v>
      </c>
      <c r="U133" s="48">
        <f>SUM(U131:U132)</f>
        <v>0</v>
      </c>
      <c r="V133" s="49">
        <f t="shared" si="78"/>
        <v>0</v>
      </c>
      <c r="W133" s="48">
        <f>SUM(W131:W132)</f>
        <v>0</v>
      </c>
      <c r="X133" s="49">
        <f t="shared" si="79"/>
        <v>0</v>
      </c>
      <c r="Y133" s="48">
        <f>SUM(Y131:Y132)</f>
        <v>12450</v>
      </c>
      <c r="Z133" s="48">
        <f>SUM(Z131:Z132)</f>
        <v>12450</v>
      </c>
    </row>
    <row r="134" spans="1:26" ht="13.9" customHeight="1" x14ac:dyDescent="0.25">
      <c r="A134" s="15">
        <v>1</v>
      </c>
      <c r="B134" s="15">
        <v>2</v>
      </c>
      <c r="D134" s="30"/>
      <c r="E134" s="31"/>
      <c r="F134" s="27" t="s">
        <v>122</v>
      </c>
      <c r="G134" s="28">
        <f t="shared" ref="G134:Q134" si="82">G130+G133</f>
        <v>14042.25</v>
      </c>
      <c r="H134" s="28">
        <f t="shared" si="82"/>
        <v>10581.32</v>
      </c>
      <c r="I134" s="28">
        <f t="shared" si="82"/>
        <v>12401</v>
      </c>
      <c r="J134" s="28">
        <f t="shared" si="82"/>
        <v>17847</v>
      </c>
      <c r="K134" s="28">
        <f t="shared" si="82"/>
        <v>17850</v>
      </c>
      <c r="L134" s="28">
        <f t="shared" si="82"/>
        <v>0</v>
      </c>
      <c r="M134" s="28">
        <f t="shared" si="82"/>
        <v>0</v>
      </c>
      <c r="N134" s="28">
        <f t="shared" si="82"/>
        <v>0</v>
      </c>
      <c r="O134" s="28">
        <f t="shared" si="82"/>
        <v>0</v>
      </c>
      <c r="P134" s="28">
        <f t="shared" si="82"/>
        <v>17850</v>
      </c>
      <c r="Q134" s="28">
        <f t="shared" si="82"/>
        <v>4492.42</v>
      </c>
      <c r="R134" s="29">
        <f t="shared" si="76"/>
        <v>0.2516761904761905</v>
      </c>
      <c r="S134" s="28">
        <f>S130+S133</f>
        <v>0</v>
      </c>
      <c r="T134" s="29">
        <f t="shared" si="77"/>
        <v>0</v>
      </c>
      <c r="U134" s="28">
        <f>U130+U133</f>
        <v>0</v>
      </c>
      <c r="V134" s="29">
        <f t="shared" si="78"/>
        <v>0</v>
      </c>
      <c r="W134" s="28">
        <f>W130+W133</f>
        <v>0</v>
      </c>
      <c r="X134" s="29">
        <f t="shared" si="79"/>
        <v>0</v>
      </c>
      <c r="Y134" s="28">
        <f>Y130+Y133</f>
        <v>17850</v>
      </c>
      <c r="Z134" s="28">
        <f>Z130+Z133</f>
        <v>17850</v>
      </c>
    </row>
    <row r="136" spans="1:26" ht="13.9" customHeight="1" x14ac:dyDescent="0.25">
      <c r="D136" s="5" t="s">
        <v>155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9" customHeight="1" x14ac:dyDescent="0.25">
      <c r="D137" s="21" t="s">
        <v>32</v>
      </c>
      <c r="E137" s="21" t="s">
        <v>33</v>
      </c>
      <c r="F137" s="21" t="s">
        <v>34</v>
      </c>
      <c r="G137" s="21" t="s">
        <v>1</v>
      </c>
      <c r="H137" s="21" t="s">
        <v>2</v>
      </c>
      <c r="I137" s="21" t="s">
        <v>3</v>
      </c>
      <c r="J137" s="21" t="s">
        <v>4</v>
      </c>
      <c r="K137" s="21" t="s">
        <v>5</v>
      </c>
      <c r="L137" s="21" t="s">
        <v>6</v>
      </c>
      <c r="M137" s="21" t="s">
        <v>7</v>
      </c>
      <c r="N137" s="21" t="s">
        <v>8</v>
      </c>
      <c r="O137" s="21" t="s">
        <v>9</v>
      </c>
      <c r="P137" s="21" t="s">
        <v>10</v>
      </c>
      <c r="Q137" s="21" t="s">
        <v>11</v>
      </c>
      <c r="R137" s="22" t="s">
        <v>12</v>
      </c>
      <c r="S137" s="21" t="s">
        <v>13</v>
      </c>
      <c r="T137" s="22" t="s">
        <v>14</v>
      </c>
      <c r="U137" s="21" t="s">
        <v>15</v>
      </c>
      <c r="V137" s="22" t="s">
        <v>16</v>
      </c>
      <c r="W137" s="21" t="s">
        <v>17</v>
      </c>
      <c r="X137" s="22" t="s">
        <v>18</v>
      </c>
      <c r="Y137" s="21" t="s">
        <v>19</v>
      </c>
      <c r="Z137" s="21" t="s">
        <v>20</v>
      </c>
    </row>
    <row r="138" spans="1:26" ht="13.9" customHeight="1" x14ac:dyDescent="0.25">
      <c r="A138" s="15">
        <v>1</v>
      </c>
      <c r="B138" s="15">
        <v>3</v>
      </c>
      <c r="D138" s="50" t="s">
        <v>126</v>
      </c>
      <c r="E138" s="24">
        <v>630</v>
      </c>
      <c r="F138" s="24" t="s">
        <v>129</v>
      </c>
      <c r="G138" s="45">
        <v>160.47</v>
      </c>
      <c r="H138" s="45">
        <v>0</v>
      </c>
      <c r="I138" s="25">
        <v>0</v>
      </c>
      <c r="J138" s="25">
        <v>0</v>
      </c>
      <c r="K138" s="25">
        <v>0</v>
      </c>
      <c r="L138" s="25"/>
      <c r="M138" s="25"/>
      <c r="N138" s="25"/>
      <c r="O138" s="25"/>
      <c r="P138" s="45">
        <f>K138+SUM(L138:O138)</f>
        <v>0</v>
      </c>
      <c r="Q138" s="45">
        <v>0</v>
      </c>
      <c r="R138" s="46">
        <f t="shared" ref="R138:R144" si="83">IFERROR(Q138/$P138,0)</f>
        <v>0</v>
      </c>
      <c r="S138" s="45"/>
      <c r="T138" s="46">
        <f t="shared" ref="T138:T144" si="84">IFERROR(S138/$P138,0)</f>
        <v>0</v>
      </c>
      <c r="U138" s="45"/>
      <c r="V138" s="46">
        <f t="shared" ref="V138:V144" si="85">IFERROR(U138/$P138,0)</f>
        <v>0</v>
      </c>
      <c r="W138" s="45"/>
      <c r="X138" s="46">
        <f t="shared" ref="X138:X144" si="86">IFERROR(W138/$P138,0)</f>
        <v>0</v>
      </c>
      <c r="Y138" s="25">
        <v>0</v>
      </c>
      <c r="Z138" s="25">
        <v>0</v>
      </c>
    </row>
    <row r="139" spans="1:26" ht="13.9" customHeight="1" x14ac:dyDescent="0.25">
      <c r="A139" s="15">
        <v>1</v>
      </c>
      <c r="B139" s="15">
        <v>3</v>
      </c>
      <c r="D139" s="79" t="s">
        <v>21</v>
      </c>
      <c r="E139" s="47">
        <v>111</v>
      </c>
      <c r="F139" s="47" t="s">
        <v>23</v>
      </c>
      <c r="G139" s="48">
        <f t="shared" ref="G139:Q139" si="87">SUM(G138)</f>
        <v>160.47</v>
      </c>
      <c r="H139" s="48">
        <f t="shared" si="87"/>
        <v>0</v>
      </c>
      <c r="I139" s="48">
        <f t="shared" si="87"/>
        <v>0</v>
      </c>
      <c r="J139" s="48">
        <f t="shared" si="87"/>
        <v>0</v>
      </c>
      <c r="K139" s="48">
        <f t="shared" si="87"/>
        <v>0</v>
      </c>
      <c r="L139" s="48">
        <f t="shared" si="87"/>
        <v>0</v>
      </c>
      <c r="M139" s="48">
        <f t="shared" si="87"/>
        <v>0</v>
      </c>
      <c r="N139" s="48">
        <f t="shared" si="87"/>
        <v>0</v>
      </c>
      <c r="O139" s="48">
        <f t="shared" si="87"/>
        <v>0</v>
      </c>
      <c r="P139" s="48">
        <f t="shared" si="87"/>
        <v>0</v>
      </c>
      <c r="Q139" s="48">
        <f t="shared" si="87"/>
        <v>0</v>
      </c>
      <c r="R139" s="49">
        <f t="shared" si="83"/>
        <v>0</v>
      </c>
      <c r="S139" s="48">
        <f>SUM(S138)</f>
        <v>0</v>
      </c>
      <c r="T139" s="49">
        <f t="shared" si="84"/>
        <v>0</v>
      </c>
      <c r="U139" s="48">
        <f>SUM(U138)</f>
        <v>0</v>
      </c>
      <c r="V139" s="49">
        <f t="shared" si="85"/>
        <v>0</v>
      </c>
      <c r="W139" s="48">
        <f>SUM(W138)</f>
        <v>0</v>
      </c>
      <c r="X139" s="49">
        <f t="shared" si="86"/>
        <v>0</v>
      </c>
      <c r="Y139" s="48">
        <f>SUM(Y138)</f>
        <v>0</v>
      </c>
      <c r="Z139" s="48">
        <f>SUM(Z138)</f>
        <v>0</v>
      </c>
    </row>
    <row r="140" spans="1:26" ht="13.9" customHeight="1" x14ac:dyDescent="0.25">
      <c r="A140" s="15">
        <v>1</v>
      </c>
      <c r="B140" s="15">
        <v>3</v>
      </c>
      <c r="D140" s="24" t="s">
        <v>156</v>
      </c>
      <c r="E140" s="24">
        <v>630</v>
      </c>
      <c r="F140" s="24" t="s">
        <v>157</v>
      </c>
      <c r="G140" s="25">
        <v>232.56</v>
      </c>
      <c r="H140" s="25">
        <v>4375.12</v>
      </c>
      <c r="I140" s="25">
        <v>3530</v>
      </c>
      <c r="J140" s="45">
        <v>15465</v>
      </c>
      <c r="K140" s="45">
        <v>15465</v>
      </c>
      <c r="L140" s="25"/>
      <c r="M140" s="25"/>
      <c r="N140" s="25"/>
      <c r="O140" s="25"/>
      <c r="P140" s="25">
        <f>K140+SUM(L140:O140)</f>
        <v>15465</v>
      </c>
      <c r="Q140" s="25">
        <v>116.28</v>
      </c>
      <c r="R140" s="26">
        <f t="shared" si="83"/>
        <v>7.518913676042677E-3</v>
      </c>
      <c r="S140" s="25"/>
      <c r="T140" s="26">
        <f t="shared" si="84"/>
        <v>0</v>
      </c>
      <c r="U140" s="25"/>
      <c r="V140" s="26">
        <f t="shared" si="85"/>
        <v>0</v>
      </c>
      <c r="W140" s="25"/>
      <c r="X140" s="26">
        <f t="shared" si="86"/>
        <v>0</v>
      </c>
      <c r="Y140" s="25">
        <f>K140</f>
        <v>15465</v>
      </c>
      <c r="Z140" s="25">
        <f>Y140</f>
        <v>15465</v>
      </c>
    </row>
    <row r="141" spans="1:26" ht="13.9" customHeight="1" x14ac:dyDescent="0.25">
      <c r="D141" s="13" t="s">
        <v>126</v>
      </c>
      <c r="E141" s="24">
        <v>620</v>
      </c>
      <c r="F141" s="24" t="s">
        <v>128</v>
      </c>
      <c r="G141" s="25">
        <v>0</v>
      </c>
      <c r="H141" s="25">
        <v>0</v>
      </c>
      <c r="I141" s="25">
        <v>0</v>
      </c>
      <c r="J141" s="45">
        <v>1</v>
      </c>
      <c r="K141" s="45">
        <v>2</v>
      </c>
      <c r="L141" s="25"/>
      <c r="M141" s="25"/>
      <c r="N141" s="25"/>
      <c r="O141" s="25"/>
      <c r="P141" s="25">
        <f>K141+SUM(L141:O141)</f>
        <v>2</v>
      </c>
      <c r="Q141" s="25">
        <v>0.56999999999999995</v>
      </c>
      <c r="R141" s="26">
        <f t="shared" si="83"/>
        <v>0.28499999999999998</v>
      </c>
      <c r="S141" s="25"/>
      <c r="T141" s="26">
        <f t="shared" si="84"/>
        <v>0</v>
      </c>
      <c r="U141" s="25"/>
      <c r="V141" s="26">
        <f t="shared" si="85"/>
        <v>0</v>
      </c>
      <c r="W141" s="25"/>
      <c r="X141" s="26">
        <f t="shared" si="86"/>
        <v>0</v>
      </c>
      <c r="Y141" s="25">
        <f>K141</f>
        <v>2</v>
      </c>
      <c r="Z141" s="25">
        <f>Y141</f>
        <v>2</v>
      </c>
    </row>
    <row r="142" spans="1:26" ht="13.9" customHeight="1" x14ac:dyDescent="0.25">
      <c r="A142" s="15">
        <v>1</v>
      </c>
      <c r="B142" s="15">
        <v>3</v>
      </c>
      <c r="D142" s="13"/>
      <c r="E142" s="24">
        <v>630</v>
      </c>
      <c r="F142" s="24" t="s">
        <v>129</v>
      </c>
      <c r="G142" s="25">
        <v>1833.06</v>
      </c>
      <c r="H142" s="25">
        <v>4247.51</v>
      </c>
      <c r="I142" s="25">
        <v>15465</v>
      </c>
      <c r="J142" s="25">
        <f>ROUND(8931,0)</f>
        <v>8931</v>
      </c>
      <c r="K142" s="45">
        <v>6974</v>
      </c>
      <c r="L142" s="25">
        <v>397</v>
      </c>
      <c r="M142" s="25"/>
      <c r="N142" s="25"/>
      <c r="O142" s="25"/>
      <c r="P142" s="25">
        <f>K142+SUM(L142:O142)</f>
        <v>7371</v>
      </c>
      <c r="Q142" s="25">
        <v>1270.8499999999999</v>
      </c>
      <c r="R142" s="26">
        <f t="shared" si="83"/>
        <v>0.17241215574548907</v>
      </c>
      <c r="S142" s="25"/>
      <c r="T142" s="26">
        <f t="shared" si="84"/>
        <v>0</v>
      </c>
      <c r="U142" s="25"/>
      <c r="V142" s="26">
        <f t="shared" si="85"/>
        <v>0</v>
      </c>
      <c r="W142" s="25"/>
      <c r="X142" s="26">
        <f t="shared" si="86"/>
        <v>0</v>
      </c>
      <c r="Y142" s="25">
        <f>K142</f>
        <v>6974</v>
      </c>
      <c r="Z142" s="25">
        <f>Y142</f>
        <v>6974</v>
      </c>
    </row>
    <row r="143" spans="1:26" ht="13.9" customHeight="1" x14ac:dyDescent="0.25">
      <c r="A143" s="15">
        <v>1</v>
      </c>
      <c r="B143" s="15">
        <v>3</v>
      </c>
      <c r="D143" s="79" t="s">
        <v>21</v>
      </c>
      <c r="E143" s="47">
        <v>41</v>
      </c>
      <c r="F143" s="47" t="s">
        <v>23</v>
      </c>
      <c r="G143" s="48">
        <f t="shared" ref="G143:Q143" si="88">SUM(G140:G142)</f>
        <v>2065.62</v>
      </c>
      <c r="H143" s="48">
        <f t="shared" si="88"/>
        <v>8622.630000000001</v>
      </c>
      <c r="I143" s="48">
        <f t="shared" si="88"/>
        <v>18995</v>
      </c>
      <c r="J143" s="48">
        <f t="shared" si="88"/>
        <v>24397</v>
      </c>
      <c r="K143" s="99">
        <f t="shared" si="88"/>
        <v>22441</v>
      </c>
      <c r="L143" s="48">
        <f t="shared" si="88"/>
        <v>397</v>
      </c>
      <c r="M143" s="48">
        <f t="shared" si="88"/>
        <v>0</v>
      </c>
      <c r="N143" s="48">
        <f t="shared" si="88"/>
        <v>0</v>
      </c>
      <c r="O143" s="48">
        <f t="shared" si="88"/>
        <v>0</v>
      </c>
      <c r="P143" s="48">
        <f t="shared" si="88"/>
        <v>22838</v>
      </c>
      <c r="Q143" s="48">
        <f t="shared" si="88"/>
        <v>1387.6999999999998</v>
      </c>
      <c r="R143" s="49">
        <f t="shared" si="83"/>
        <v>6.0762763814694802E-2</v>
      </c>
      <c r="S143" s="48">
        <f>SUM(S140:S142)</f>
        <v>0</v>
      </c>
      <c r="T143" s="49">
        <f t="shared" si="84"/>
        <v>0</v>
      </c>
      <c r="U143" s="48">
        <f>SUM(U140:U142)</f>
        <v>0</v>
      </c>
      <c r="V143" s="49">
        <f t="shared" si="85"/>
        <v>0</v>
      </c>
      <c r="W143" s="48">
        <f>SUM(W140:W142)</f>
        <v>0</v>
      </c>
      <c r="X143" s="49">
        <f t="shared" si="86"/>
        <v>0</v>
      </c>
      <c r="Y143" s="48">
        <f>SUM(Y140:Y142)</f>
        <v>22441</v>
      </c>
      <c r="Z143" s="48">
        <f>SUM(Z140:Z142)</f>
        <v>22441</v>
      </c>
    </row>
    <row r="144" spans="1:26" ht="13.9" customHeight="1" x14ac:dyDescent="0.25">
      <c r="A144" s="15">
        <v>1</v>
      </c>
      <c r="B144" s="15">
        <v>3</v>
      </c>
      <c r="D144" s="86"/>
      <c r="E144" s="87"/>
      <c r="F144" s="27" t="s">
        <v>122</v>
      </c>
      <c r="G144" s="28">
        <f t="shared" ref="G144:Q144" si="89">G139+G143</f>
        <v>2226.0899999999997</v>
      </c>
      <c r="H144" s="28">
        <f t="shared" si="89"/>
        <v>8622.630000000001</v>
      </c>
      <c r="I144" s="28">
        <f t="shared" si="89"/>
        <v>18995</v>
      </c>
      <c r="J144" s="28">
        <f t="shared" si="89"/>
        <v>24397</v>
      </c>
      <c r="K144" s="101">
        <f t="shared" si="89"/>
        <v>22441</v>
      </c>
      <c r="L144" s="28">
        <f t="shared" si="89"/>
        <v>397</v>
      </c>
      <c r="M144" s="28">
        <f t="shared" si="89"/>
        <v>0</v>
      </c>
      <c r="N144" s="28">
        <f t="shared" si="89"/>
        <v>0</v>
      </c>
      <c r="O144" s="28">
        <f t="shared" si="89"/>
        <v>0</v>
      </c>
      <c r="P144" s="28">
        <f t="shared" si="89"/>
        <v>22838</v>
      </c>
      <c r="Q144" s="28">
        <f t="shared" si="89"/>
        <v>1387.6999999999998</v>
      </c>
      <c r="R144" s="29">
        <f t="shared" si="83"/>
        <v>6.0762763814694802E-2</v>
      </c>
      <c r="S144" s="28">
        <f>S139+S143</f>
        <v>0</v>
      </c>
      <c r="T144" s="29">
        <f t="shared" si="84"/>
        <v>0</v>
      </c>
      <c r="U144" s="28">
        <f>U139+U143</f>
        <v>0</v>
      </c>
      <c r="V144" s="29">
        <f t="shared" si="85"/>
        <v>0</v>
      </c>
      <c r="W144" s="28">
        <f>W139+W143</f>
        <v>0</v>
      </c>
      <c r="X144" s="29">
        <f t="shared" si="86"/>
        <v>0</v>
      </c>
      <c r="Y144" s="28">
        <f>Y139+Y143</f>
        <v>22441</v>
      </c>
      <c r="Z144" s="28">
        <f>Z139+Z143</f>
        <v>22441</v>
      </c>
    </row>
    <row r="145" spans="1:26" ht="13.9" customHeight="1" x14ac:dyDescent="0.25">
      <c r="K145" s="57"/>
    </row>
    <row r="146" spans="1:26" ht="13.9" customHeight="1" x14ac:dyDescent="0.25">
      <c r="E146" s="51" t="s">
        <v>55</v>
      </c>
      <c r="F146" s="30" t="s">
        <v>143</v>
      </c>
      <c r="G146" s="52">
        <v>802.7</v>
      </c>
      <c r="H146" s="52">
        <v>416</v>
      </c>
      <c r="I146" s="52">
        <v>400</v>
      </c>
      <c r="J146" s="52">
        <v>767</v>
      </c>
      <c r="K146" s="102">
        <v>770</v>
      </c>
      <c r="L146" s="52"/>
      <c r="M146" s="52"/>
      <c r="N146" s="52"/>
      <c r="O146" s="52"/>
      <c r="P146" s="52">
        <f>K146+SUM(L146:O146)</f>
        <v>770</v>
      </c>
      <c r="Q146" s="52">
        <v>108</v>
      </c>
      <c r="R146" s="53">
        <f>IFERROR(Q146/$P146,0)</f>
        <v>0.14025974025974025</v>
      </c>
      <c r="S146" s="52"/>
      <c r="T146" s="53">
        <f>IFERROR(S146/$P146,0)</f>
        <v>0</v>
      </c>
      <c r="U146" s="52"/>
      <c r="V146" s="53">
        <f>IFERROR(U146/$P146,0)</f>
        <v>0</v>
      </c>
      <c r="W146" s="52"/>
      <c r="X146" s="54">
        <f>IFERROR(W146/$P146,0)</f>
        <v>0</v>
      </c>
      <c r="Y146" s="52">
        <f>K146</f>
        <v>770</v>
      </c>
      <c r="Z146" s="55">
        <f>Y146</f>
        <v>770</v>
      </c>
    </row>
    <row r="147" spans="1:26" ht="13.9" customHeight="1" x14ac:dyDescent="0.25">
      <c r="E147" s="56"/>
      <c r="F147" s="15" t="s">
        <v>144</v>
      </c>
      <c r="G147" s="58">
        <v>88</v>
      </c>
      <c r="H147" s="58">
        <v>44</v>
      </c>
      <c r="I147" s="58">
        <v>44</v>
      </c>
      <c r="J147" s="58">
        <v>82</v>
      </c>
      <c r="K147" s="61">
        <v>82</v>
      </c>
      <c r="L147" s="58"/>
      <c r="M147" s="58"/>
      <c r="N147" s="58"/>
      <c r="O147" s="58"/>
      <c r="P147" s="58">
        <f>K147+SUM(L147:O147)</f>
        <v>82</v>
      </c>
      <c r="Q147" s="58">
        <v>10.34</v>
      </c>
      <c r="R147" s="16">
        <f>IFERROR(Q147/$P147,0)</f>
        <v>0.12609756097560976</v>
      </c>
      <c r="S147" s="58"/>
      <c r="T147" s="16">
        <f>IFERROR(S147/$P147,0)</f>
        <v>0</v>
      </c>
      <c r="U147" s="58"/>
      <c r="V147" s="16">
        <f>IFERROR(U147/$P147,0)</f>
        <v>0</v>
      </c>
      <c r="W147" s="58"/>
      <c r="X147" s="59">
        <f>IFERROR(W147/$P147,0)</f>
        <v>0</v>
      </c>
      <c r="Y147" s="58">
        <f>K147</f>
        <v>82</v>
      </c>
      <c r="Z147" s="60">
        <f>Y147</f>
        <v>82</v>
      </c>
    </row>
    <row r="148" spans="1:26" ht="13.9" customHeight="1" x14ac:dyDescent="0.25">
      <c r="E148" s="56"/>
      <c r="F148" s="15" t="s">
        <v>158</v>
      </c>
      <c r="G148" s="58">
        <v>0</v>
      </c>
      <c r="H148" s="58">
        <v>3910</v>
      </c>
      <c r="I148" s="58">
        <v>15000</v>
      </c>
      <c r="J148" s="58">
        <v>15000</v>
      </c>
      <c r="K148" s="61">
        <v>15000</v>
      </c>
      <c r="L148" s="58"/>
      <c r="M148" s="58"/>
      <c r="N148" s="58"/>
      <c r="O148" s="58"/>
      <c r="P148" s="58">
        <f>K148+SUM(L148:O148)</f>
        <v>15000</v>
      </c>
      <c r="Q148" s="58">
        <v>0</v>
      </c>
      <c r="R148" s="16">
        <f>IFERROR(Q148/$P148,0)</f>
        <v>0</v>
      </c>
      <c r="S148" s="58"/>
      <c r="T148" s="16">
        <f>IFERROR(S148/$P148,0)</f>
        <v>0</v>
      </c>
      <c r="U148" s="58"/>
      <c r="V148" s="16">
        <f>IFERROR(U148/$P148,0)</f>
        <v>0</v>
      </c>
      <c r="W148" s="58"/>
      <c r="X148" s="59">
        <f>IFERROR(W148/$P148,0)</f>
        <v>0</v>
      </c>
      <c r="Y148" s="58">
        <f>K148</f>
        <v>15000</v>
      </c>
      <c r="Z148" s="60">
        <f>Y148</f>
        <v>15000</v>
      </c>
    </row>
    <row r="149" spans="1:26" ht="13.9" customHeight="1" x14ac:dyDescent="0.25">
      <c r="E149" s="103"/>
      <c r="F149" s="104" t="s">
        <v>159</v>
      </c>
      <c r="G149" s="105">
        <v>0</v>
      </c>
      <c r="H149" s="105">
        <v>0</v>
      </c>
      <c r="I149" s="105">
        <v>2040</v>
      </c>
      <c r="J149" s="105">
        <v>4540</v>
      </c>
      <c r="K149" s="105">
        <v>3000</v>
      </c>
      <c r="L149" s="105"/>
      <c r="M149" s="105"/>
      <c r="N149" s="105"/>
      <c r="O149" s="105"/>
      <c r="P149" s="105">
        <f>K149+SUM(L149:O149)</f>
        <v>3000</v>
      </c>
      <c r="Q149" s="105">
        <v>630</v>
      </c>
      <c r="R149" s="106">
        <f>IFERROR(Q149/$P149,0)</f>
        <v>0.21</v>
      </c>
      <c r="S149" s="105"/>
      <c r="T149" s="106">
        <f>IFERROR(S149/$P149,0)</f>
        <v>0</v>
      </c>
      <c r="U149" s="105"/>
      <c r="V149" s="106">
        <f>IFERROR(U149/$P149,0)</f>
        <v>0</v>
      </c>
      <c r="W149" s="105"/>
      <c r="X149" s="107">
        <f>IFERROR(W149/$P149,0)</f>
        <v>0</v>
      </c>
      <c r="Y149" s="108">
        <f>K149</f>
        <v>3000</v>
      </c>
      <c r="Z149" s="109">
        <f>Y149</f>
        <v>3000</v>
      </c>
    </row>
    <row r="150" spans="1:26" ht="13.9" customHeight="1" x14ac:dyDescent="0.25"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S150" s="58"/>
      <c r="U150" s="58"/>
      <c r="W150" s="58"/>
      <c r="Y150" s="58"/>
      <c r="Z150" s="58"/>
    </row>
    <row r="151" spans="1:26" ht="13.9" customHeight="1" x14ac:dyDescent="0.25">
      <c r="D151" s="5" t="s">
        <v>160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9" customHeight="1" x14ac:dyDescent="0.25">
      <c r="D152" s="21" t="s">
        <v>32</v>
      </c>
      <c r="E152" s="21" t="s">
        <v>33</v>
      </c>
      <c r="F152" s="21" t="s">
        <v>34</v>
      </c>
      <c r="G152" s="21" t="s">
        <v>1</v>
      </c>
      <c r="H152" s="21" t="s">
        <v>2</v>
      </c>
      <c r="I152" s="21" t="s">
        <v>3</v>
      </c>
      <c r="J152" s="21" t="s">
        <v>4</v>
      </c>
      <c r="K152" s="21" t="s">
        <v>5</v>
      </c>
      <c r="L152" s="21" t="s">
        <v>6</v>
      </c>
      <c r="M152" s="21" t="s">
        <v>7</v>
      </c>
      <c r="N152" s="21" t="s">
        <v>8</v>
      </c>
      <c r="O152" s="21" t="s">
        <v>9</v>
      </c>
      <c r="P152" s="21" t="s">
        <v>10</v>
      </c>
      <c r="Q152" s="21" t="s">
        <v>11</v>
      </c>
      <c r="R152" s="22" t="s">
        <v>12</v>
      </c>
      <c r="S152" s="21" t="s">
        <v>13</v>
      </c>
      <c r="T152" s="22" t="s">
        <v>14</v>
      </c>
      <c r="U152" s="21" t="s">
        <v>15</v>
      </c>
      <c r="V152" s="22" t="s">
        <v>16</v>
      </c>
      <c r="W152" s="21" t="s">
        <v>17</v>
      </c>
      <c r="X152" s="22" t="s">
        <v>18</v>
      </c>
      <c r="Y152" s="21" t="s">
        <v>19</v>
      </c>
      <c r="Z152" s="21" t="s">
        <v>20</v>
      </c>
    </row>
    <row r="153" spans="1:26" ht="13.9" customHeight="1" x14ac:dyDescent="0.25">
      <c r="A153" s="15">
        <v>1</v>
      </c>
      <c r="B153" s="15">
        <v>4</v>
      </c>
      <c r="D153" s="13" t="s">
        <v>161</v>
      </c>
      <c r="E153" s="110">
        <v>610</v>
      </c>
      <c r="F153" s="110" t="s">
        <v>127</v>
      </c>
      <c r="G153" s="45">
        <v>240</v>
      </c>
      <c r="H153" s="45">
        <v>480</v>
      </c>
      <c r="I153" s="45">
        <v>0</v>
      </c>
      <c r="J153" s="45">
        <v>0</v>
      </c>
      <c r="K153" s="45">
        <v>320</v>
      </c>
      <c r="L153" s="45"/>
      <c r="M153" s="45"/>
      <c r="N153" s="45"/>
      <c r="O153" s="45"/>
      <c r="P153" s="45">
        <f>K153+SUM(L153:O153)</f>
        <v>320</v>
      </c>
      <c r="Q153" s="45">
        <v>0</v>
      </c>
      <c r="R153" s="46">
        <f>IFERROR(Q153/$P153,0)</f>
        <v>0</v>
      </c>
      <c r="S153" s="45"/>
      <c r="T153" s="46">
        <f>IFERROR(S153/$P153,0)</f>
        <v>0</v>
      </c>
      <c r="U153" s="45"/>
      <c r="V153" s="46">
        <f>IFERROR(U153/$P153,0)</f>
        <v>0</v>
      </c>
      <c r="W153" s="45"/>
      <c r="X153" s="46">
        <f>IFERROR(W153/$P153,0)</f>
        <v>0</v>
      </c>
      <c r="Y153" s="25">
        <v>160</v>
      </c>
      <c r="Z153" s="25">
        <v>0</v>
      </c>
    </row>
    <row r="154" spans="1:26" ht="13.9" customHeight="1" x14ac:dyDescent="0.25">
      <c r="A154" s="15">
        <v>1</v>
      </c>
      <c r="B154" s="15">
        <v>4</v>
      </c>
      <c r="D154" s="13"/>
      <c r="E154" s="110">
        <v>620</v>
      </c>
      <c r="F154" s="110" t="s">
        <v>128</v>
      </c>
      <c r="G154" s="45">
        <v>118.3</v>
      </c>
      <c r="H154" s="45">
        <v>174.61</v>
      </c>
      <c r="I154" s="45">
        <v>0</v>
      </c>
      <c r="J154" s="45">
        <v>0</v>
      </c>
      <c r="K154" s="45">
        <v>116</v>
      </c>
      <c r="L154" s="45"/>
      <c r="M154" s="45"/>
      <c r="N154" s="45"/>
      <c r="O154" s="45"/>
      <c r="P154" s="45">
        <f>K154+SUM(L154:O154)</f>
        <v>116</v>
      </c>
      <c r="Q154" s="45">
        <v>0</v>
      </c>
      <c r="R154" s="46">
        <f>IFERROR(Q154/$P154,0)</f>
        <v>0</v>
      </c>
      <c r="S154" s="45"/>
      <c r="T154" s="46">
        <f>IFERROR(S154/$P154,0)</f>
        <v>0</v>
      </c>
      <c r="U154" s="45"/>
      <c r="V154" s="46">
        <f>IFERROR(U154/$P154,0)</f>
        <v>0</v>
      </c>
      <c r="W154" s="45"/>
      <c r="X154" s="46">
        <f>IFERROR(W154/$P154,0)</f>
        <v>0</v>
      </c>
      <c r="Y154" s="25">
        <v>58</v>
      </c>
      <c r="Z154" s="25">
        <v>0</v>
      </c>
    </row>
    <row r="155" spans="1:26" ht="13.9" customHeight="1" x14ac:dyDescent="0.25">
      <c r="A155" s="15">
        <v>1</v>
      </c>
      <c r="B155" s="15">
        <v>4</v>
      </c>
      <c r="D155" s="13"/>
      <c r="E155" s="110">
        <v>630</v>
      </c>
      <c r="F155" s="110" t="s">
        <v>129</v>
      </c>
      <c r="G155" s="45">
        <v>4223.46</v>
      </c>
      <c r="H155" s="45">
        <v>6988.51</v>
      </c>
      <c r="I155" s="45">
        <v>0</v>
      </c>
      <c r="J155" s="45">
        <v>0</v>
      </c>
      <c r="K155" s="45">
        <v>4564</v>
      </c>
      <c r="L155" s="45"/>
      <c r="M155" s="45"/>
      <c r="N155" s="45"/>
      <c r="O155" s="45"/>
      <c r="P155" s="45">
        <f>K155+SUM(L155:O155)</f>
        <v>4564</v>
      </c>
      <c r="Q155" s="45">
        <v>0</v>
      </c>
      <c r="R155" s="46">
        <f>IFERROR(Q155/$P155,0)</f>
        <v>0</v>
      </c>
      <c r="S155" s="45"/>
      <c r="T155" s="46">
        <f>IFERROR(S155/$P155,0)</f>
        <v>0</v>
      </c>
      <c r="U155" s="45"/>
      <c r="V155" s="46">
        <f>IFERROR(U155/$P155,0)</f>
        <v>0</v>
      </c>
      <c r="W155" s="45"/>
      <c r="X155" s="46">
        <f>IFERROR(W155/$P155,0)</f>
        <v>0</v>
      </c>
      <c r="Y155" s="45">
        <v>2282</v>
      </c>
      <c r="Z155" s="45">
        <v>0</v>
      </c>
    </row>
    <row r="156" spans="1:26" ht="13.9" customHeight="1" x14ac:dyDescent="0.25">
      <c r="A156" s="15">
        <v>1</v>
      </c>
      <c r="B156" s="15">
        <v>4</v>
      </c>
      <c r="D156" s="111" t="s">
        <v>21</v>
      </c>
      <c r="E156" s="112">
        <v>111</v>
      </c>
      <c r="F156" s="112" t="s">
        <v>132</v>
      </c>
      <c r="G156" s="99">
        <f t="shared" ref="G156:Q156" si="90">SUM(G153:G155)</f>
        <v>4581.76</v>
      </c>
      <c r="H156" s="99">
        <f t="shared" si="90"/>
        <v>7643.12</v>
      </c>
      <c r="I156" s="99">
        <f t="shared" si="90"/>
        <v>0</v>
      </c>
      <c r="J156" s="99">
        <f t="shared" si="90"/>
        <v>0</v>
      </c>
      <c r="K156" s="99">
        <f t="shared" si="90"/>
        <v>5000</v>
      </c>
      <c r="L156" s="99">
        <f t="shared" si="90"/>
        <v>0</v>
      </c>
      <c r="M156" s="99">
        <f t="shared" si="90"/>
        <v>0</v>
      </c>
      <c r="N156" s="99">
        <f t="shared" si="90"/>
        <v>0</v>
      </c>
      <c r="O156" s="99">
        <f t="shared" si="90"/>
        <v>0</v>
      </c>
      <c r="P156" s="99">
        <f t="shared" si="90"/>
        <v>5000</v>
      </c>
      <c r="Q156" s="99">
        <f t="shared" si="90"/>
        <v>0</v>
      </c>
      <c r="R156" s="100">
        <f>IFERROR(Q156/$P156,0)</f>
        <v>0</v>
      </c>
      <c r="S156" s="99">
        <f>SUM(S153:S155)</f>
        <v>0</v>
      </c>
      <c r="T156" s="100">
        <f>IFERROR(S156/$P156,0)</f>
        <v>0</v>
      </c>
      <c r="U156" s="99">
        <f>SUM(U153:U155)</f>
        <v>0</v>
      </c>
      <c r="V156" s="100">
        <f>IFERROR(U156/$P156,0)</f>
        <v>0</v>
      </c>
      <c r="W156" s="99">
        <f>SUM(W153:W155)</f>
        <v>0</v>
      </c>
      <c r="X156" s="100">
        <f>IFERROR(W156/$P156,0)</f>
        <v>0</v>
      </c>
      <c r="Y156" s="99">
        <f>SUM(Y153:Y155)</f>
        <v>2500</v>
      </c>
      <c r="Z156" s="99">
        <f>SUM(Z153:Z155)</f>
        <v>0</v>
      </c>
    </row>
    <row r="157" spans="1:26" ht="13.9" customHeight="1" x14ac:dyDescent="0.25">
      <c r="A157" s="15">
        <v>1</v>
      </c>
      <c r="B157" s="15">
        <v>4</v>
      </c>
      <c r="D157" s="113"/>
      <c r="E157" s="114"/>
      <c r="F157" s="115" t="s">
        <v>122</v>
      </c>
      <c r="G157" s="101">
        <f t="shared" ref="G157:Q157" si="91">G156</f>
        <v>4581.76</v>
      </c>
      <c r="H157" s="101">
        <f t="shared" si="91"/>
        <v>7643.12</v>
      </c>
      <c r="I157" s="101">
        <f t="shared" si="91"/>
        <v>0</v>
      </c>
      <c r="J157" s="101">
        <f t="shared" si="91"/>
        <v>0</v>
      </c>
      <c r="K157" s="101">
        <f t="shared" si="91"/>
        <v>5000</v>
      </c>
      <c r="L157" s="101">
        <f t="shared" si="91"/>
        <v>0</v>
      </c>
      <c r="M157" s="101">
        <f t="shared" si="91"/>
        <v>0</v>
      </c>
      <c r="N157" s="101">
        <f t="shared" si="91"/>
        <v>0</v>
      </c>
      <c r="O157" s="101">
        <f t="shared" si="91"/>
        <v>0</v>
      </c>
      <c r="P157" s="101">
        <f t="shared" si="91"/>
        <v>5000</v>
      </c>
      <c r="Q157" s="101">
        <f t="shared" si="91"/>
        <v>0</v>
      </c>
      <c r="R157" s="116">
        <f>IFERROR(Q157/$P157,0)</f>
        <v>0</v>
      </c>
      <c r="S157" s="101">
        <f>S156</f>
        <v>0</v>
      </c>
      <c r="T157" s="116">
        <f>IFERROR(S157/$P157,0)</f>
        <v>0</v>
      </c>
      <c r="U157" s="101">
        <f>U156</f>
        <v>0</v>
      </c>
      <c r="V157" s="116">
        <f>IFERROR(U157/$P157,0)</f>
        <v>0</v>
      </c>
      <c r="W157" s="101">
        <f>W156</f>
        <v>0</v>
      </c>
      <c r="X157" s="116">
        <f>IFERROR(W157/$P157,0)</f>
        <v>0</v>
      </c>
      <c r="Y157" s="101">
        <f>Y156</f>
        <v>2500</v>
      </c>
      <c r="Z157" s="101">
        <f>Z156</f>
        <v>0</v>
      </c>
    </row>
    <row r="159" spans="1:26" ht="13.9" customHeight="1" x14ac:dyDescent="0.25">
      <c r="D159" s="7" t="s">
        <v>162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.9" customHeight="1" x14ac:dyDescent="0.25">
      <c r="D160" s="20"/>
      <c r="E160" s="20"/>
      <c r="F160" s="20"/>
      <c r="G160" s="21" t="s">
        <v>1</v>
      </c>
      <c r="H160" s="21" t="s">
        <v>2</v>
      </c>
      <c r="I160" s="21" t="s">
        <v>3</v>
      </c>
      <c r="J160" s="21" t="s">
        <v>4</v>
      </c>
      <c r="K160" s="21" t="s">
        <v>5</v>
      </c>
      <c r="L160" s="21" t="s">
        <v>6</v>
      </c>
      <c r="M160" s="21" t="s">
        <v>7</v>
      </c>
      <c r="N160" s="21" t="s">
        <v>8</v>
      </c>
      <c r="O160" s="21" t="s">
        <v>9</v>
      </c>
      <c r="P160" s="21" t="s">
        <v>10</v>
      </c>
      <c r="Q160" s="21" t="s">
        <v>11</v>
      </c>
      <c r="R160" s="22" t="s">
        <v>12</v>
      </c>
      <c r="S160" s="21" t="s">
        <v>13</v>
      </c>
      <c r="T160" s="22" t="s">
        <v>14</v>
      </c>
      <c r="U160" s="21" t="s">
        <v>15</v>
      </c>
      <c r="V160" s="22" t="s">
        <v>16</v>
      </c>
      <c r="W160" s="21" t="s">
        <v>17</v>
      </c>
      <c r="X160" s="22" t="s">
        <v>18</v>
      </c>
      <c r="Y160" s="21" t="s">
        <v>19</v>
      </c>
      <c r="Z160" s="21" t="s">
        <v>20</v>
      </c>
    </row>
    <row r="161" spans="1:26" ht="13.9" customHeight="1" x14ac:dyDescent="0.25">
      <c r="A161" s="15">
        <v>2</v>
      </c>
      <c r="D161" s="12" t="s">
        <v>21</v>
      </c>
      <c r="E161" s="35">
        <v>111</v>
      </c>
      <c r="F161" s="35" t="s">
        <v>45</v>
      </c>
      <c r="G161" s="36">
        <f t="shared" ref="G161:Q161" si="92">G171</f>
        <v>799105.12</v>
      </c>
      <c r="H161" s="36">
        <f t="shared" si="92"/>
        <v>987073.67</v>
      </c>
      <c r="I161" s="36">
        <f t="shared" si="92"/>
        <v>1172589</v>
      </c>
      <c r="J161" s="36">
        <f t="shared" si="92"/>
        <v>1266541</v>
      </c>
      <c r="K161" s="36">
        <f t="shared" si="92"/>
        <v>1339350</v>
      </c>
      <c r="L161" s="36">
        <f t="shared" si="92"/>
        <v>110335</v>
      </c>
      <c r="M161" s="36">
        <f t="shared" si="92"/>
        <v>0</v>
      </c>
      <c r="N161" s="36">
        <f t="shared" si="92"/>
        <v>0</v>
      </c>
      <c r="O161" s="36">
        <f t="shared" si="92"/>
        <v>0</v>
      </c>
      <c r="P161" s="36">
        <f t="shared" si="92"/>
        <v>1449685</v>
      </c>
      <c r="Q161" s="36">
        <f t="shared" si="92"/>
        <v>286772.89999999997</v>
      </c>
      <c r="R161" s="37">
        <f>IFERROR(Q161/$P161,0)</f>
        <v>0.1978173879153057</v>
      </c>
      <c r="S161" s="36">
        <f>S171</f>
        <v>0</v>
      </c>
      <c r="T161" s="37">
        <f>IFERROR(S161/$P161,0)</f>
        <v>0</v>
      </c>
      <c r="U161" s="36">
        <f>U171</f>
        <v>0</v>
      </c>
      <c r="V161" s="37">
        <f>IFERROR(U161/$P161,0)</f>
        <v>0</v>
      </c>
      <c r="W161" s="36">
        <f>W171</f>
        <v>0</v>
      </c>
      <c r="X161" s="37">
        <f>IFERROR(W161/$P161,0)</f>
        <v>0</v>
      </c>
      <c r="Y161" s="36">
        <f>Y171</f>
        <v>1405081</v>
      </c>
      <c r="Z161" s="36">
        <f>Z171</f>
        <v>1421342</v>
      </c>
    </row>
    <row r="162" spans="1:26" ht="13.9" customHeight="1" x14ac:dyDescent="0.25">
      <c r="A162" s="15">
        <v>2</v>
      </c>
      <c r="D162" s="12"/>
      <c r="E162" s="35">
        <v>41</v>
      </c>
      <c r="F162" s="35" t="s">
        <v>23</v>
      </c>
      <c r="G162" s="36">
        <f t="shared" ref="G162:Q162" si="93">G176</f>
        <v>323565.08999999997</v>
      </c>
      <c r="H162" s="36">
        <f t="shared" si="93"/>
        <v>370947.98</v>
      </c>
      <c r="I162" s="36">
        <f t="shared" si="93"/>
        <v>161712</v>
      </c>
      <c r="J162" s="36">
        <f t="shared" si="93"/>
        <v>150980</v>
      </c>
      <c r="K162" s="36">
        <f t="shared" si="93"/>
        <v>153000</v>
      </c>
      <c r="L162" s="36">
        <f t="shared" si="93"/>
        <v>0</v>
      </c>
      <c r="M162" s="36">
        <f t="shared" si="93"/>
        <v>0</v>
      </c>
      <c r="N162" s="36">
        <f t="shared" si="93"/>
        <v>0</v>
      </c>
      <c r="O162" s="36">
        <f t="shared" si="93"/>
        <v>0</v>
      </c>
      <c r="P162" s="36">
        <f t="shared" si="93"/>
        <v>153000</v>
      </c>
      <c r="Q162" s="36">
        <f t="shared" si="93"/>
        <v>24009.99</v>
      </c>
      <c r="R162" s="37">
        <f>IFERROR(Q162/$P162,0)</f>
        <v>0.15692803921568629</v>
      </c>
      <c r="S162" s="36">
        <f>S176</f>
        <v>0</v>
      </c>
      <c r="T162" s="37">
        <f>IFERROR(S162/$P162,0)</f>
        <v>0</v>
      </c>
      <c r="U162" s="36">
        <f>U176</f>
        <v>0</v>
      </c>
      <c r="V162" s="37">
        <f>IFERROR(U162/$P162,0)</f>
        <v>0</v>
      </c>
      <c r="W162" s="36">
        <f>W176</f>
        <v>0</v>
      </c>
      <c r="X162" s="37">
        <f>IFERROR(W162/$P162,0)</f>
        <v>0</v>
      </c>
      <c r="Y162" s="36">
        <f>Y176</f>
        <v>161514</v>
      </c>
      <c r="Z162" s="36">
        <f>Z176</f>
        <v>172670</v>
      </c>
    </row>
    <row r="163" spans="1:26" ht="13.9" customHeight="1" x14ac:dyDescent="0.25">
      <c r="A163" s="15">
        <v>2</v>
      </c>
      <c r="D163" s="12"/>
      <c r="E163" s="35">
        <v>72</v>
      </c>
      <c r="F163" s="35" t="s">
        <v>25</v>
      </c>
      <c r="G163" s="36">
        <f t="shared" ref="G163:Q163" si="94">G178</f>
        <v>97546.64</v>
      </c>
      <c r="H163" s="36">
        <f t="shared" si="94"/>
        <v>97553.55</v>
      </c>
      <c r="I163" s="36">
        <f t="shared" si="94"/>
        <v>92100</v>
      </c>
      <c r="J163" s="36">
        <f t="shared" si="94"/>
        <v>85667</v>
      </c>
      <c r="K163" s="36">
        <f t="shared" si="94"/>
        <v>93200</v>
      </c>
      <c r="L163" s="36">
        <f t="shared" si="94"/>
        <v>46789</v>
      </c>
      <c r="M163" s="36">
        <f t="shared" si="94"/>
        <v>0</v>
      </c>
      <c r="N163" s="36">
        <f t="shared" si="94"/>
        <v>0</v>
      </c>
      <c r="O163" s="36">
        <f t="shared" si="94"/>
        <v>0</v>
      </c>
      <c r="P163" s="36">
        <f t="shared" si="94"/>
        <v>139989</v>
      </c>
      <c r="Q163" s="36">
        <f t="shared" si="94"/>
        <v>19015.02</v>
      </c>
      <c r="R163" s="37">
        <f>IFERROR(Q163/$P163,0)</f>
        <v>0.13583224396202559</v>
      </c>
      <c r="S163" s="36">
        <f>S178</f>
        <v>0</v>
      </c>
      <c r="T163" s="37">
        <f>IFERROR(S163/$P163,0)</f>
        <v>0</v>
      </c>
      <c r="U163" s="36">
        <f>U178</f>
        <v>0</v>
      </c>
      <c r="V163" s="37">
        <f>IFERROR(U163/$P163,0)</f>
        <v>0</v>
      </c>
      <c r="W163" s="36">
        <f>W178</f>
        <v>0</v>
      </c>
      <c r="X163" s="37">
        <f>IFERROR(W163/$P163,0)</f>
        <v>0</v>
      </c>
      <c r="Y163" s="36">
        <f>Y178</f>
        <v>94095</v>
      </c>
      <c r="Z163" s="36">
        <f>Z178</f>
        <v>94095</v>
      </c>
    </row>
    <row r="164" spans="1:26" ht="13.9" customHeight="1" x14ac:dyDescent="0.25">
      <c r="A164" s="15">
        <v>2</v>
      </c>
      <c r="D164" s="30"/>
      <c r="E164" s="31"/>
      <c r="F164" s="38" t="s">
        <v>122</v>
      </c>
      <c r="G164" s="39">
        <f t="shared" ref="G164:Q164" si="95">SUM(G161:G163)</f>
        <v>1220216.8499999999</v>
      </c>
      <c r="H164" s="39">
        <f t="shared" si="95"/>
        <v>1455575.2</v>
      </c>
      <c r="I164" s="39">
        <f t="shared" si="95"/>
        <v>1426401</v>
      </c>
      <c r="J164" s="39">
        <f t="shared" si="95"/>
        <v>1503188</v>
      </c>
      <c r="K164" s="39">
        <f t="shared" si="95"/>
        <v>1585550</v>
      </c>
      <c r="L164" s="39">
        <f t="shared" si="95"/>
        <v>157124</v>
      </c>
      <c r="M164" s="39">
        <f t="shared" si="95"/>
        <v>0</v>
      </c>
      <c r="N164" s="39">
        <f t="shared" si="95"/>
        <v>0</v>
      </c>
      <c r="O164" s="39">
        <f t="shared" si="95"/>
        <v>0</v>
      </c>
      <c r="P164" s="39">
        <f t="shared" si="95"/>
        <v>1742674</v>
      </c>
      <c r="Q164" s="39">
        <f t="shared" si="95"/>
        <v>329797.90999999997</v>
      </c>
      <c r="R164" s="40">
        <f>IFERROR(Q164/$P164,0)</f>
        <v>0.18924819558907746</v>
      </c>
      <c r="S164" s="39">
        <f>SUM(S161:S163)</f>
        <v>0</v>
      </c>
      <c r="T164" s="40">
        <f>IFERROR(S164/$P164,0)</f>
        <v>0</v>
      </c>
      <c r="U164" s="39">
        <f>SUM(U161:U163)</f>
        <v>0</v>
      </c>
      <c r="V164" s="40">
        <f>IFERROR(U164/$P164,0)</f>
        <v>0</v>
      </c>
      <c r="W164" s="39">
        <f>SUM(W161:W163)</f>
        <v>0</v>
      </c>
      <c r="X164" s="40">
        <f>IFERROR(W164/$P164,0)</f>
        <v>0</v>
      </c>
      <c r="Y164" s="39">
        <f>SUM(Y161:Y163)</f>
        <v>1660690</v>
      </c>
      <c r="Z164" s="39">
        <f>SUM(Z161:Z163)</f>
        <v>1688107</v>
      </c>
    </row>
    <row r="166" spans="1:26" ht="13.9" customHeight="1" x14ac:dyDescent="0.25">
      <c r="D166" s="41" t="s">
        <v>163</v>
      </c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2"/>
      <c r="S166" s="41"/>
      <c r="T166" s="42"/>
      <c r="U166" s="41"/>
      <c r="V166" s="42"/>
      <c r="W166" s="41"/>
      <c r="X166" s="42"/>
      <c r="Y166" s="41"/>
      <c r="Z166" s="41"/>
    </row>
    <row r="167" spans="1:26" ht="13.9" customHeight="1" x14ac:dyDescent="0.25">
      <c r="D167" s="21" t="s">
        <v>32</v>
      </c>
      <c r="E167" s="21" t="s">
        <v>33</v>
      </c>
      <c r="F167" s="21" t="s">
        <v>34</v>
      </c>
      <c r="G167" s="21" t="s">
        <v>1</v>
      </c>
      <c r="H167" s="21" t="s">
        <v>2</v>
      </c>
      <c r="I167" s="21" t="s">
        <v>3</v>
      </c>
      <c r="J167" s="21" t="s">
        <v>4</v>
      </c>
      <c r="K167" s="21" t="s">
        <v>5</v>
      </c>
      <c r="L167" s="21" t="s">
        <v>6</v>
      </c>
      <c r="M167" s="21" t="s">
        <v>7</v>
      </c>
      <c r="N167" s="21" t="s">
        <v>8</v>
      </c>
      <c r="O167" s="21" t="s">
        <v>9</v>
      </c>
      <c r="P167" s="21" t="s">
        <v>10</v>
      </c>
      <c r="Q167" s="21" t="s">
        <v>11</v>
      </c>
      <c r="R167" s="22" t="s">
        <v>12</v>
      </c>
      <c r="S167" s="21" t="s">
        <v>13</v>
      </c>
      <c r="T167" s="22" t="s">
        <v>14</v>
      </c>
      <c r="U167" s="21" t="s">
        <v>15</v>
      </c>
      <c r="V167" s="22" t="s">
        <v>16</v>
      </c>
      <c r="W167" s="21" t="s">
        <v>17</v>
      </c>
      <c r="X167" s="22" t="s">
        <v>18</v>
      </c>
      <c r="Y167" s="21" t="s">
        <v>19</v>
      </c>
      <c r="Z167" s="21" t="s">
        <v>20</v>
      </c>
    </row>
    <row r="168" spans="1:26" ht="13.9" customHeight="1" x14ac:dyDescent="0.25">
      <c r="A168" s="15">
        <v>2</v>
      </c>
      <c r="B168" s="15">
        <v>1</v>
      </c>
      <c r="D168" s="50" t="s">
        <v>164</v>
      </c>
      <c r="E168" s="24">
        <v>630</v>
      </c>
      <c r="F168" s="24" t="s">
        <v>165</v>
      </c>
      <c r="G168" s="45">
        <v>32424.78</v>
      </c>
      <c r="H168" s="45">
        <v>64959.13</v>
      </c>
      <c r="I168" s="45">
        <v>0</v>
      </c>
      <c r="J168" s="45">
        <v>3300</v>
      </c>
      <c r="K168" s="45">
        <v>0</v>
      </c>
      <c r="L168" s="45">
        <v>150</v>
      </c>
      <c r="M168" s="45"/>
      <c r="N168" s="45"/>
      <c r="O168" s="45"/>
      <c r="P168" s="25">
        <f>K168+SUM(L168:O168)</f>
        <v>150</v>
      </c>
      <c r="Q168" s="45">
        <v>150</v>
      </c>
      <c r="R168" s="46">
        <f t="shared" ref="R168:R179" si="96">IFERROR(Q168/$P168,0)</f>
        <v>1</v>
      </c>
      <c r="S168" s="45"/>
      <c r="T168" s="46">
        <f t="shared" ref="T168:T179" si="97">IFERROR(S168/$P168,0)</f>
        <v>0</v>
      </c>
      <c r="U168" s="45"/>
      <c r="V168" s="46">
        <f t="shared" ref="V168:V179" si="98">IFERROR(U168/$P168,0)</f>
        <v>0</v>
      </c>
      <c r="W168" s="45"/>
      <c r="X168" s="46">
        <f t="shared" ref="X168:X179" si="99">IFERROR(W168/$P168,0)</f>
        <v>0</v>
      </c>
      <c r="Y168" s="25">
        <f>K168</f>
        <v>0</v>
      </c>
      <c r="Z168" s="25">
        <f>Y168</f>
        <v>0</v>
      </c>
    </row>
    <row r="169" spans="1:26" ht="13.9" customHeight="1" x14ac:dyDescent="0.25">
      <c r="A169" s="15">
        <v>2</v>
      </c>
      <c r="B169" s="15">
        <v>1</v>
      </c>
      <c r="D169" s="50" t="s">
        <v>166</v>
      </c>
      <c r="E169" s="24">
        <v>630</v>
      </c>
      <c r="F169" s="24" t="s">
        <v>129</v>
      </c>
      <c r="G169" s="45">
        <v>0</v>
      </c>
      <c r="H169" s="45">
        <v>0</v>
      </c>
      <c r="I169" s="45">
        <v>5500</v>
      </c>
      <c r="J169" s="45">
        <v>6991</v>
      </c>
      <c r="K169" s="45">
        <v>6990</v>
      </c>
      <c r="L169" s="45"/>
      <c r="M169" s="45"/>
      <c r="N169" s="45"/>
      <c r="O169" s="45"/>
      <c r="P169" s="25">
        <f>K169+SUM(L169:O169)</f>
        <v>6990</v>
      </c>
      <c r="Q169" s="45">
        <v>1717.54</v>
      </c>
      <c r="R169" s="46">
        <f t="shared" si="96"/>
        <v>0.24571387696709585</v>
      </c>
      <c r="S169" s="45"/>
      <c r="T169" s="46">
        <f t="shared" si="97"/>
        <v>0</v>
      </c>
      <c r="U169" s="45"/>
      <c r="V169" s="46">
        <f t="shared" si="98"/>
        <v>0</v>
      </c>
      <c r="W169" s="45"/>
      <c r="X169" s="46">
        <f t="shared" si="99"/>
        <v>0</v>
      </c>
      <c r="Y169" s="25">
        <f>K169</f>
        <v>6990</v>
      </c>
      <c r="Z169" s="25">
        <f>Y169</f>
        <v>6990</v>
      </c>
    </row>
    <row r="170" spans="1:26" ht="13.9" customHeight="1" x14ac:dyDescent="0.25">
      <c r="A170" s="15">
        <v>2</v>
      </c>
      <c r="B170" s="15">
        <v>1</v>
      </c>
      <c r="D170" s="50" t="s">
        <v>164</v>
      </c>
      <c r="E170" s="24" t="s">
        <v>49</v>
      </c>
      <c r="F170" s="24" t="s">
        <v>22</v>
      </c>
      <c r="G170" s="45">
        <v>766680.34</v>
      </c>
      <c r="H170" s="45">
        <v>922114.54</v>
      </c>
      <c r="I170" s="45">
        <v>1167089</v>
      </c>
      <c r="J170" s="45">
        <v>1256250</v>
      </c>
      <c r="K170" s="45">
        <v>1332360</v>
      </c>
      <c r="L170" s="45">
        <v>110185</v>
      </c>
      <c r="M170" s="45"/>
      <c r="N170" s="45"/>
      <c r="O170" s="45"/>
      <c r="P170" s="25">
        <f>K170+SUM(L170:O170)</f>
        <v>1442545</v>
      </c>
      <c r="Q170" s="45">
        <v>284905.36</v>
      </c>
      <c r="R170" s="46">
        <f t="shared" si="96"/>
        <v>0.19750188728947796</v>
      </c>
      <c r="S170" s="45"/>
      <c r="T170" s="46">
        <f t="shared" si="97"/>
        <v>0</v>
      </c>
      <c r="U170" s="45"/>
      <c r="V170" s="46">
        <f t="shared" si="98"/>
        <v>0</v>
      </c>
      <c r="W170" s="45"/>
      <c r="X170" s="46">
        <f t="shared" si="99"/>
        <v>0</v>
      </c>
      <c r="Y170" s="25">
        <v>1398091</v>
      </c>
      <c r="Z170" s="25">
        <v>1414352</v>
      </c>
    </row>
    <row r="171" spans="1:26" ht="13.9" customHeight="1" x14ac:dyDescent="0.25">
      <c r="A171" s="15">
        <v>2</v>
      </c>
      <c r="B171" s="15">
        <v>1</v>
      </c>
      <c r="D171" s="79" t="s">
        <v>21</v>
      </c>
      <c r="E171" s="47" t="s">
        <v>167</v>
      </c>
      <c r="F171" s="47" t="s">
        <v>132</v>
      </c>
      <c r="G171" s="48">
        <f t="shared" ref="G171:Q171" si="100">SUM(G168:G170)</f>
        <v>799105.12</v>
      </c>
      <c r="H171" s="48">
        <f t="shared" si="100"/>
        <v>987073.67</v>
      </c>
      <c r="I171" s="48">
        <f t="shared" si="100"/>
        <v>1172589</v>
      </c>
      <c r="J171" s="48">
        <f t="shared" si="100"/>
        <v>1266541</v>
      </c>
      <c r="K171" s="48">
        <f t="shared" si="100"/>
        <v>1339350</v>
      </c>
      <c r="L171" s="48">
        <f t="shared" si="100"/>
        <v>110335</v>
      </c>
      <c r="M171" s="48">
        <f t="shared" si="100"/>
        <v>0</v>
      </c>
      <c r="N171" s="48">
        <f t="shared" si="100"/>
        <v>0</v>
      </c>
      <c r="O171" s="48">
        <f t="shared" si="100"/>
        <v>0</v>
      </c>
      <c r="P171" s="48">
        <f t="shared" si="100"/>
        <v>1449685</v>
      </c>
      <c r="Q171" s="48">
        <f t="shared" si="100"/>
        <v>286772.89999999997</v>
      </c>
      <c r="R171" s="49">
        <f t="shared" si="96"/>
        <v>0.1978173879153057</v>
      </c>
      <c r="S171" s="48">
        <f>SUM(S168:S170)</f>
        <v>0</v>
      </c>
      <c r="T171" s="49">
        <f t="shared" si="97"/>
        <v>0</v>
      </c>
      <c r="U171" s="48">
        <f>SUM(U168:U170)</f>
        <v>0</v>
      </c>
      <c r="V171" s="49">
        <f t="shared" si="98"/>
        <v>0</v>
      </c>
      <c r="W171" s="48">
        <f>SUM(W168:W170)</f>
        <v>0</v>
      </c>
      <c r="X171" s="49">
        <f t="shared" si="99"/>
        <v>0</v>
      </c>
      <c r="Y171" s="48">
        <f>SUM(Y168:Y170)</f>
        <v>1405081</v>
      </c>
      <c r="Z171" s="48">
        <f>SUM(Z168:Z170)</f>
        <v>1421342</v>
      </c>
    </row>
    <row r="172" spans="1:26" ht="13.9" customHeight="1" x14ac:dyDescent="0.25">
      <c r="A172" s="15">
        <v>2</v>
      </c>
      <c r="B172" s="15">
        <v>1</v>
      </c>
      <c r="D172" s="91" t="s">
        <v>166</v>
      </c>
      <c r="E172" s="47">
        <v>630</v>
      </c>
      <c r="F172" s="47" t="s">
        <v>129</v>
      </c>
      <c r="G172" s="25">
        <v>12250.49</v>
      </c>
      <c r="H172" s="25">
        <v>9078.31</v>
      </c>
      <c r="I172" s="25">
        <v>20723</v>
      </c>
      <c r="J172" s="25">
        <v>10419</v>
      </c>
      <c r="K172" s="45">
        <v>659</v>
      </c>
      <c r="L172" s="48"/>
      <c r="M172" s="48"/>
      <c r="N172" s="48"/>
      <c r="O172" s="48"/>
      <c r="P172" s="25">
        <f>K172+SUM(L172:O172)</f>
        <v>659</v>
      </c>
      <c r="Q172" s="48">
        <v>14.98</v>
      </c>
      <c r="R172" s="46">
        <f t="shared" si="96"/>
        <v>2.2731411229135055E-2</v>
      </c>
      <c r="S172" s="48"/>
      <c r="T172" s="46">
        <f t="shared" si="97"/>
        <v>0</v>
      </c>
      <c r="U172" s="48"/>
      <c r="V172" s="46">
        <f t="shared" si="98"/>
        <v>0</v>
      </c>
      <c r="W172" s="48"/>
      <c r="X172" s="46">
        <f t="shared" si="99"/>
        <v>0</v>
      </c>
      <c r="Y172" s="25">
        <f>K172</f>
        <v>659</v>
      </c>
      <c r="Z172" s="25">
        <f>Y172</f>
        <v>659</v>
      </c>
    </row>
    <row r="173" spans="1:26" ht="13.9" customHeight="1" x14ac:dyDescent="0.25">
      <c r="A173" s="15">
        <v>2</v>
      </c>
      <c r="B173" s="15">
        <v>1</v>
      </c>
      <c r="D173" s="50" t="s">
        <v>168</v>
      </c>
      <c r="E173" s="24">
        <v>630</v>
      </c>
      <c r="F173" s="24" t="s">
        <v>129</v>
      </c>
      <c r="G173" s="25">
        <v>2309.44</v>
      </c>
      <c r="H173" s="25">
        <v>3406.87</v>
      </c>
      <c r="I173" s="25">
        <v>2032</v>
      </c>
      <c r="J173" s="25">
        <v>1830</v>
      </c>
      <c r="K173" s="25">
        <v>1849</v>
      </c>
      <c r="L173" s="25"/>
      <c r="M173" s="25"/>
      <c r="N173" s="25"/>
      <c r="O173" s="25"/>
      <c r="P173" s="25">
        <f>K173+SUM(L173:O173)</f>
        <v>1849</v>
      </c>
      <c r="Q173" s="25">
        <v>300</v>
      </c>
      <c r="R173" s="26">
        <f t="shared" si="96"/>
        <v>0.16224986479177933</v>
      </c>
      <c r="S173" s="25"/>
      <c r="T173" s="26">
        <f t="shared" si="97"/>
        <v>0</v>
      </c>
      <c r="U173" s="25"/>
      <c r="V173" s="26">
        <f t="shared" si="98"/>
        <v>0</v>
      </c>
      <c r="W173" s="25"/>
      <c r="X173" s="26">
        <f t="shared" si="99"/>
        <v>0</v>
      </c>
      <c r="Y173" s="25">
        <f>K173</f>
        <v>1849</v>
      </c>
      <c r="Z173" s="25">
        <f>Y173</f>
        <v>1849</v>
      </c>
    </row>
    <row r="174" spans="1:26" ht="13.9" customHeight="1" x14ac:dyDescent="0.25">
      <c r="A174" s="15">
        <v>2</v>
      </c>
      <c r="B174" s="15">
        <v>1</v>
      </c>
      <c r="D174" s="117" t="s">
        <v>169</v>
      </c>
      <c r="E174" s="24">
        <v>630</v>
      </c>
      <c r="F174" s="24" t="s">
        <v>129</v>
      </c>
      <c r="G174" s="25">
        <v>5300.67</v>
      </c>
      <c r="H174" s="25">
        <v>748.88</v>
      </c>
      <c r="I174" s="25">
        <v>5500</v>
      </c>
      <c r="J174" s="25">
        <v>7381</v>
      </c>
      <c r="K174" s="25">
        <v>7390</v>
      </c>
      <c r="L174" s="25"/>
      <c r="M174" s="25"/>
      <c r="N174" s="25"/>
      <c r="O174" s="25"/>
      <c r="P174" s="25">
        <f>K174+SUM(L174:O174)</f>
        <v>7390</v>
      </c>
      <c r="Q174" s="25">
        <v>1897.67</v>
      </c>
      <c r="R174" s="26">
        <f t="shared" si="96"/>
        <v>0.25678890392422193</v>
      </c>
      <c r="S174" s="25"/>
      <c r="T174" s="26">
        <f t="shared" si="97"/>
        <v>0</v>
      </c>
      <c r="U174" s="25"/>
      <c r="V174" s="26">
        <f t="shared" si="98"/>
        <v>0</v>
      </c>
      <c r="W174" s="25"/>
      <c r="X174" s="26">
        <f t="shared" si="99"/>
        <v>0</v>
      </c>
      <c r="Y174" s="25">
        <f>K174</f>
        <v>7390</v>
      </c>
      <c r="Z174" s="25">
        <f>Y174</f>
        <v>7390</v>
      </c>
    </row>
    <row r="175" spans="1:26" ht="13.9" customHeight="1" x14ac:dyDescent="0.25">
      <c r="A175" s="15">
        <v>2</v>
      </c>
      <c r="B175" s="15">
        <v>1</v>
      </c>
      <c r="D175" s="118" t="s">
        <v>164</v>
      </c>
      <c r="E175" s="24" t="s">
        <v>49</v>
      </c>
      <c r="F175" s="24" t="s">
        <v>170</v>
      </c>
      <c r="G175" s="45">
        <v>303704.49</v>
      </c>
      <c r="H175" s="45">
        <v>357713.91999999998</v>
      </c>
      <c r="I175" s="45">
        <v>133457</v>
      </c>
      <c r="J175" s="45">
        <v>131350</v>
      </c>
      <c r="K175" s="45">
        <v>143102</v>
      </c>
      <c r="L175" s="45"/>
      <c r="M175" s="45"/>
      <c r="N175" s="45"/>
      <c r="O175" s="45"/>
      <c r="P175" s="25">
        <f>K175+SUM(L175:O175)</f>
        <v>143102</v>
      </c>
      <c r="Q175" s="45">
        <v>21797.34</v>
      </c>
      <c r="R175" s="46">
        <f t="shared" si="96"/>
        <v>0.15232030300065688</v>
      </c>
      <c r="S175" s="45"/>
      <c r="T175" s="46">
        <f t="shared" si="97"/>
        <v>0</v>
      </c>
      <c r="U175" s="45"/>
      <c r="V175" s="46">
        <f t="shared" si="98"/>
        <v>0</v>
      </c>
      <c r="W175" s="45"/>
      <c r="X175" s="46">
        <f t="shared" si="99"/>
        <v>0</v>
      </c>
      <c r="Y175" s="25">
        <v>151616</v>
      </c>
      <c r="Z175" s="25">
        <v>162772</v>
      </c>
    </row>
    <row r="176" spans="1:26" ht="13.9" customHeight="1" x14ac:dyDescent="0.25">
      <c r="A176" s="15">
        <v>2</v>
      </c>
      <c r="B176" s="15">
        <v>1</v>
      </c>
      <c r="D176" s="79" t="s">
        <v>21</v>
      </c>
      <c r="E176" s="47">
        <v>41</v>
      </c>
      <c r="F176" s="47" t="s">
        <v>23</v>
      </c>
      <c r="G176" s="48">
        <f t="shared" ref="G176:Q176" si="101">SUM(G172:G175)</f>
        <v>323565.08999999997</v>
      </c>
      <c r="H176" s="48">
        <f t="shared" si="101"/>
        <v>370947.98</v>
      </c>
      <c r="I176" s="48">
        <f t="shared" si="101"/>
        <v>161712</v>
      </c>
      <c r="J176" s="48">
        <f t="shared" si="101"/>
        <v>150980</v>
      </c>
      <c r="K176" s="48">
        <f t="shared" si="101"/>
        <v>153000</v>
      </c>
      <c r="L176" s="48">
        <f t="shared" si="101"/>
        <v>0</v>
      </c>
      <c r="M176" s="48">
        <f t="shared" si="101"/>
        <v>0</v>
      </c>
      <c r="N176" s="48">
        <f t="shared" si="101"/>
        <v>0</v>
      </c>
      <c r="O176" s="48">
        <f t="shared" si="101"/>
        <v>0</v>
      </c>
      <c r="P176" s="48">
        <f t="shared" si="101"/>
        <v>153000</v>
      </c>
      <c r="Q176" s="48">
        <f t="shared" si="101"/>
        <v>24009.99</v>
      </c>
      <c r="R176" s="49">
        <f t="shared" si="96"/>
        <v>0.15692803921568629</v>
      </c>
      <c r="S176" s="48">
        <f>SUM(S172:S175)</f>
        <v>0</v>
      </c>
      <c r="T176" s="49">
        <f t="shared" si="97"/>
        <v>0</v>
      </c>
      <c r="U176" s="48">
        <f>SUM(U172:U175)</f>
        <v>0</v>
      </c>
      <c r="V176" s="49">
        <f t="shared" si="98"/>
        <v>0</v>
      </c>
      <c r="W176" s="48">
        <f>SUM(W172:W175)</f>
        <v>0</v>
      </c>
      <c r="X176" s="49">
        <f t="shared" si="99"/>
        <v>0</v>
      </c>
      <c r="Y176" s="48">
        <f>SUM(Y172:Y175)</f>
        <v>161514</v>
      </c>
      <c r="Z176" s="48">
        <f>SUM(Z172:Z175)</f>
        <v>172670</v>
      </c>
    </row>
    <row r="177" spans="1:26" ht="13.9" customHeight="1" x14ac:dyDescent="0.25">
      <c r="A177" s="15">
        <v>2</v>
      </c>
      <c r="B177" s="15">
        <v>1</v>
      </c>
      <c r="D177" s="50" t="s">
        <v>164</v>
      </c>
      <c r="E177" s="24" t="s">
        <v>49</v>
      </c>
      <c r="F177" s="24" t="s">
        <v>25</v>
      </c>
      <c r="G177" s="45">
        <v>97546.64</v>
      </c>
      <c r="H177" s="45">
        <v>97553.55</v>
      </c>
      <c r="I177" s="45">
        <v>92100</v>
      </c>
      <c r="J177" s="45">
        <v>85667</v>
      </c>
      <c r="K177" s="45">
        <v>93200</v>
      </c>
      <c r="L177" s="45">
        <v>46789</v>
      </c>
      <c r="M177" s="45"/>
      <c r="N177" s="45"/>
      <c r="O177" s="45"/>
      <c r="P177" s="25">
        <f>K177+SUM(L177:O177)</f>
        <v>139989</v>
      </c>
      <c r="Q177" s="45">
        <v>19015.02</v>
      </c>
      <c r="R177" s="46">
        <f t="shared" si="96"/>
        <v>0.13583224396202559</v>
      </c>
      <c r="S177" s="45"/>
      <c r="T177" s="46">
        <f t="shared" si="97"/>
        <v>0</v>
      </c>
      <c r="U177" s="45"/>
      <c r="V177" s="46">
        <f t="shared" si="98"/>
        <v>0</v>
      </c>
      <c r="W177" s="45"/>
      <c r="X177" s="46">
        <f t="shared" si="99"/>
        <v>0</v>
      </c>
      <c r="Y177" s="25">
        <v>94095</v>
      </c>
      <c r="Z177" s="25">
        <f>Y177</f>
        <v>94095</v>
      </c>
    </row>
    <row r="178" spans="1:26" ht="13.9" customHeight="1" x14ac:dyDescent="0.25">
      <c r="A178" s="15">
        <v>2</v>
      </c>
      <c r="B178" s="15">
        <v>1</v>
      </c>
      <c r="D178" s="79" t="s">
        <v>21</v>
      </c>
      <c r="E178" s="47">
        <v>72</v>
      </c>
      <c r="F178" s="47" t="s">
        <v>25</v>
      </c>
      <c r="G178" s="48">
        <f t="shared" ref="G178:Q178" si="102">SUM(G177)</f>
        <v>97546.64</v>
      </c>
      <c r="H178" s="48">
        <f t="shared" si="102"/>
        <v>97553.55</v>
      </c>
      <c r="I178" s="99">
        <f t="shared" si="102"/>
        <v>92100</v>
      </c>
      <c r="J178" s="48">
        <f t="shared" si="102"/>
        <v>85667</v>
      </c>
      <c r="K178" s="99">
        <f t="shared" si="102"/>
        <v>93200</v>
      </c>
      <c r="L178" s="48">
        <f t="shared" si="102"/>
        <v>46789</v>
      </c>
      <c r="M178" s="48">
        <f t="shared" si="102"/>
        <v>0</v>
      </c>
      <c r="N178" s="48">
        <f t="shared" si="102"/>
        <v>0</v>
      </c>
      <c r="O178" s="48">
        <f t="shared" si="102"/>
        <v>0</v>
      </c>
      <c r="P178" s="48">
        <f t="shared" si="102"/>
        <v>139989</v>
      </c>
      <c r="Q178" s="48">
        <f t="shared" si="102"/>
        <v>19015.02</v>
      </c>
      <c r="R178" s="49">
        <f t="shared" si="96"/>
        <v>0.13583224396202559</v>
      </c>
      <c r="S178" s="48">
        <f>SUM(S177)</f>
        <v>0</v>
      </c>
      <c r="T178" s="49">
        <f t="shared" si="97"/>
        <v>0</v>
      </c>
      <c r="U178" s="48">
        <f>SUM(U177)</f>
        <v>0</v>
      </c>
      <c r="V178" s="49">
        <f t="shared" si="98"/>
        <v>0</v>
      </c>
      <c r="W178" s="48">
        <f>SUM(W177)</f>
        <v>0</v>
      </c>
      <c r="X178" s="49">
        <f t="shared" si="99"/>
        <v>0</v>
      </c>
      <c r="Y178" s="48">
        <f>SUM(Y177)</f>
        <v>94095</v>
      </c>
      <c r="Z178" s="48">
        <f>SUM(Z177)</f>
        <v>94095</v>
      </c>
    </row>
    <row r="179" spans="1:26" ht="13.9" customHeight="1" x14ac:dyDescent="0.25">
      <c r="A179" s="15">
        <v>2</v>
      </c>
      <c r="B179" s="15">
        <v>1</v>
      </c>
      <c r="D179" s="30"/>
      <c r="E179" s="31"/>
      <c r="F179" s="27" t="s">
        <v>122</v>
      </c>
      <c r="G179" s="28">
        <f t="shared" ref="G179:Q179" si="103">G171+G176+G178</f>
        <v>1220216.8499999999</v>
      </c>
      <c r="H179" s="28">
        <f t="shared" si="103"/>
        <v>1455575.2</v>
      </c>
      <c r="I179" s="28">
        <f t="shared" si="103"/>
        <v>1426401</v>
      </c>
      <c r="J179" s="28">
        <f t="shared" si="103"/>
        <v>1503188</v>
      </c>
      <c r="K179" s="28">
        <f t="shared" si="103"/>
        <v>1585550</v>
      </c>
      <c r="L179" s="28">
        <f t="shared" si="103"/>
        <v>157124</v>
      </c>
      <c r="M179" s="28">
        <f t="shared" si="103"/>
        <v>0</v>
      </c>
      <c r="N179" s="28">
        <f t="shared" si="103"/>
        <v>0</v>
      </c>
      <c r="O179" s="28">
        <f t="shared" si="103"/>
        <v>0</v>
      </c>
      <c r="P179" s="28">
        <f t="shared" si="103"/>
        <v>1742674</v>
      </c>
      <c r="Q179" s="28">
        <f t="shared" si="103"/>
        <v>329797.90999999997</v>
      </c>
      <c r="R179" s="29">
        <f t="shared" si="96"/>
        <v>0.18924819558907746</v>
      </c>
      <c r="S179" s="28">
        <f>S171+S176+S178</f>
        <v>0</v>
      </c>
      <c r="T179" s="29">
        <f t="shared" si="97"/>
        <v>0</v>
      </c>
      <c r="U179" s="28">
        <f>U171+U176+U178</f>
        <v>0</v>
      </c>
      <c r="V179" s="29">
        <f t="shared" si="98"/>
        <v>0</v>
      </c>
      <c r="W179" s="28">
        <f>W171+W176+W178</f>
        <v>0</v>
      </c>
      <c r="X179" s="29">
        <f t="shared" si="99"/>
        <v>0</v>
      </c>
      <c r="Y179" s="28">
        <f>Y171+Y176+Y178</f>
        <v>1660690</v>
      </c>
      <c r="Z179" s="28">
        <f>Z171+Z176+Z178</f>
        <v>1688107</v>
      </c>
    </row>
    <row r="181" spans="1:26" ht="13.9" customHeight="1" x14ac:dyDescent="0.25">
      <c r="E181" s="51" t="s">
        <v>55</v>
      </c>
      <c r="F181" s="30" t="s">
        <v>171</v>
      </c>
      <c r="G181" s="52">
        <v>2601.7399999999998</v>
      </c>
      <c r="H181" s="52">
        <v>728.67</v>
      </c>
      <c r="I181" s="102">
        <v>1085</v>
      </c>
      <c r="J181" s="52">
        <v>791</v>
      </c>
      <c r="K181" s="102">
        <v>790</v>
      </c>
      <c r="L181" s="52"/>
      <c r="M181" s="52"/>
      <c r="N181" s="52"/>
      <c r="O181" s="52"/>
      <c r="P181" s="52">
        <f t="shared" ref="P181:P187" si="104">K181+SUM(L181:O181)</f>
        <v>790</v>
      </c>
      <c r="Q181" s="52">
        <v>246.68</v>
      </c>
      <c r="R181" s="53">
        <f t="shared" ref="R181:R187" si="105">IFERROR(Q181/$P181,0)</f>
        <v>0.31225316455696206</v>
      </c>
      <c r="S181" s="52"/>
      <c r="T181" s="53">
        <f t="shared" ref="T181:T187" si="106">IFERROR(S181/$P181,0)</f>
        <v>0</v>
      </c>
      <c r="U181" s="52"/>
      <c r="V181" s="53">
        <f t="shared" ref="V181:V187" si="107">IFERROR(U181/$P181,0)</f>
        <v>0</v>
      </c>
      <c r="W181" s="52"/>
      <c r="X181" s="54">
        <f t="shared" ref="X181:X187" si="108">IFERROR(W181/$P181,0)</f>
        <v>0</v>
      </c>
      <c r="Y181" s="52">
        <f>K181</f>
        <v>790</v>
      </c>
      <c r="Z181" s="55">
        <f>Y181</f>
        <v>790</v>
      </c>
    </row>
    <row r="182" spans="1:26" ht="13.9" customHeight="1" x14ac:dyDescent="0.25">
      <c r="E182" s="56"/>
      <c r="F182" s="92" t="s">
        <v>172</v>
      </c>
      <c r="G182" s="95">
        <v>15154.23</v>
      </c>
      <c r="H182" s="95">
        <v>4793.25</v>
      </c>
      <c r="I182" s="93">
        <v>4795</v>
      </c>
      <c r="J182" s="95">
        <v>5000</v>
      </c>
      <c r="K182" s="93">
        <v>5000</v>
      </c>
      <c r="L182" s="95"/>
      <c r="M182" s="95"/>
      <c r="N182" s="95"/>
      <c r="O182" s="95"/>
      <c r="P182" s="95">
        <f t="shared" si="104"/>
        <v>5000</v>
      </c>
      <c r="Q182" s="95">
        <v>1470.86</v>
      </c>
      <c r="R182" s="96">
        <f t="shared" si="105"/>
        <v>0.29417199999999999</v>
      </c>
      <c r="S182" s="95"/>
      <c r="T182" s="96">
        <f t="shared" si="106"/>
        <v>0</v>
      </c>
      <c r="U182" s="95"/>
      <c r="V182" s="96">
        <f t="shared" si="107"/>
        <v>0</v>
      </c>
      <c r="W182" s="95"/>
      <c r="X182" s="59">
        <f t="shared" si="108"/>
        <v>0</v>
      </c>
      <c r="Y182" s="95">
        <f>K182</f>
        <v>5000</v>
      </c>
      <c r="Z182" s="60">
        <f>Y182</f>
        <v>5000</v>
      </c>
    </row>
    <row r="183" spans="1:26" ht="13.9" customHeight="1" x14ac:dyDescent="0.25">
      <c r="E183" s="56"/>
      <c r="F183" s="92" t="s">
        <v>173</v>
      </c>
      <c r="G183" s="95">
        <v>14844.64</v>
      </c>
      <c r="H183" s="95">
        <v>4040.75</v>
      </c>
      <c r="I183" s="93">
        <v>4000</v>
      </c>
      <c r="J183" s="95">
        <v>4514</v>
      </c>
      <c r="K183" s="93">
        <v>4520</v>
      </c>
      <c r="L183" s="95"/>
      <c r="M183" s="95"/>
      <c r="N183" s="95"/>
      <c r="O183" s="95"/>
      <c r="P183" s="95">
        <f t="shared" si="104"/>
        <v>4520</v>
      </c>
      <c r="Q183" s="95">
        <v>1407.38</v>
      </c>
      <c r="R183" s="96">
        <f t="shared" si="105"/>
        <v>0.31136725663716819</v>
      </c>
      <c r="S183" s="95"/>
      <c r="T183" s="96">
        <f t="shared" si="106"/>
        <v>0</v>
      </c>
      <c r="U183" s="95"/>
      <c r="V183" s="96">
        <f t="shared" si="107"/>
        <v>0</v>
      </c>
      <c r="W183" s="95"/>
      <c r="X183" s="59">
        <f t="shared" si="108"/>
        <v>0</v>
      </c>
      <c r="Y183" s="95">
        <f>K183</f>
        <v>4520</v>
      </c>
      <c r="Z183" s="60">
        <f>Y183</f>
        <v>4520</v>
      </c>
    </row>
    <row r="184" spans="1:26" ht="13.9" customHeight="1" x14ac:dyDescent="0.25">
      <c r="E184" s="56"/>
      <c r="F184" s="92" t="s">
        <v>174</v>
      </c>
      <c r="G184" s="93">
        <v>5051.57</v>
      </c>
      <c r="H184" s="93">
        <v>1597.75</v>
      </c>
      <c r="I184" s="93">
        <v>1500</v>
      </c>
      <c r="J184" s="93">
        <v>1667</v>
      </c>
      <c r="K184" s="93">
        <v>1670</v>
      </c>
      <c r="L184" s="93"/>
      <c r="M184" s="93"/>
      <c r="N184" s="93"/>
      <c r="O184" s="93"/>
      <c r="P184" s="93">
        <f t="shared" si="104"/>
        <v>1670</v>
      </c>
      <c r="Q184" s="93">
        <v>490.29</v>
      </c>
      <c r="R184" s="94">
        <f t="shared" si="105"/>
        <v>0.29358682634730537</v>
      </c>
      <c r="S184" s="93"/>
      <c r="T184" s="94">
        <f t="shared" si="106"/>
        <v>0</v>
      </c>
      <c r="U184" s="93"/>
      <c r="V184" s="94">
        <f t="shared" si="107"/>
        <v>0</v>
      </c>
      <c r="W184" s="93"/>
      <c r="X184" s="63">
        <f t="shared" si="108"/>
        <v>0</v>
      </c>
      <c r="Y184" s="95">
        <f>K184</f>
        <v>1670</v>
      </c>
      <c r="Z184" s="60">
        <f>Y184</f>
        <v>1670</v>
      </c>
    </row>
    <row r="185" spans="1:26" ht="13.9" hidden="1" customHeight="1" x14ac:dyDescent="0.25">
      <c r="E185" s="56"/>
      <c r="F185" s="92" t="s">
        <v>175</v>
      </c>
      <c r="G185" s="93"/>
      <c r="H185" s="93"/>
      <c r="I185" s="93">
        <v>17000</v>
      </c>
      <c r="J185" s="93">
        <v>9721</v>
      </c>
      <c r="K185" s="93"/>
      <c r="L185" s="93"/>
      <c r="M185" s="93"/>
      <c r="N185" s="93"/>
      <c r="O185" s="93"/>
      <c r="P185" s="93">
        <f t="shared" si="104"/>
        <v>0</v>
      </c>
      <c r="Q185" s="93"/>
      <c r="R185" s="94">
        <f t="shared" si="105"/>
        <v>0</v>
      </c>
      <c r="S185" s="93"/>
      <c r="T185" s="94">
        <f t="shared" si="106"/>
        <v>0</v>
      </c>
      <c r="U185" s="93"/>
      <c r="V185" s="94">
        <f t="shared" si="107"/>
        <v>0</v>
      </c>
      <c r="W185" s="93"/>
      <c r="X185" s="63">
        <f t="shared" si="108"/>
        <v>0</v>
      </c>
      <c r="Y185" s="95"/>
      <c r="Z185" s="60"/>
    </row>
    <row r="186" spans="1:26" ht="13.9" customHeight="1" x14ac:dyDescent="0.25">
      <c r="E186" s="103"/>
      <c r="F186" s="119" t="s">
        <v>176</v>
      </c>
      <c r="G186" s="105">
        <v>1080</v>
      </c>
      <c r="H186" s="105">
        <v>55276.26</v>
      </c>
      <c r="I186" s="105">
        <v>1200</v>
      </c>
      <c r="J186" s="105">
        <v>600</v>
      </c>
      <c r="K186" s="105">
        <v>600</v>
      </c>
      <c r="L186" s="105"/>
      <c r="M186" s="105"/>
      <c r="N186" s="105"/>
      <c r="O186" s="105"/>
      <c r="P186" s="105">
        <f t="shared" si="104"/>
        <v>600</v>
      </c>
      <c r="Q186" s="105">
        <v>300</v>
      </c>
      <c r="R186" s="106">
        <f t="shared" si="105"/>
        <v>0.5</v>
      </c>
      <c r="S186" s="105"/>
      <c r="T186" s="106">
        <f t="shared" si="106"/>
        <v>0</v>
      </c>
      <c r="U186" s="105"/>
      <c r="V186" s="106">
        <f t="shared" si="107"/>
        <v>0</v>
      </c>
      <c r="W186" s="105"/>
      <c r="X186" s="107">
        <f t="shared" si="108"/>
        <v>0</v>
      </c>
      <c r="Y186" s="95">
        <f>K186</f>
        <v>600</v>
      </c>
      <c r="Z186" s="60">
        <f>Y186</f>
        <v>600</v>
      </c>
    </row>
    <row r="187" spans="1:26" ht="13.9" hidden="1" customHeight="1" x14ac:dyDescent="0.25">
      <c r="E187" s="64"/>
      <c r="F187" s="97" t="s">
        <v>177</v>
      </c>
      <c r="G187" s="98"/>
      <c r="H187" s="98"/>
      <c r="I187" s="98"/>
      <c r="J187" s="98">
        <v>3300</v>
      </c>
      <c r="K187" s="98"/>
      <c r="L187" s="98"/>
      <c r="M187" s="98"/>
      <c r="N187" s="98"/>
      <c r="O187" s="98"/>
      <c r="P187" s="98">
        <f t="shared" si="104"/>
        <v>0</v>
      </c>
      <c r="Q187" s="98"/>
      <c r="R187" s="120">
        <f t="shared" si="105"/>
        <v>0</v>
      </c>
      <c r="S187" s="98"/>
      <c r="T187" s="120">
        <f t="shared" si="106"/>
        <v>0</v>
      </c>
      <c r="U187" s="98"/>
      <c r="V187" s="120">
        <f t="shared" si="107"/>
        <v>0</v>
      </c>
      <c r="W187" s="98"/>
      <c r="X187" s="121">
        <f t="shared" si="108"/>
        <v>0</v>
      </c>
      <c r="Y187" s="66"/>
      <c r="Z187" s="69"/>
    </row>
    <row r="189" spans="1:26" ht="13.9" customHeight="1" x14ac:dyDescent="0.25">
      <c r="D189" s="32" t="s">
        <v>178</v>
      </c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3"/>
      <c r="S189" s="32"/>
      <c r="T189" s="33"/>
      <c r="U189" s="32"/>
      <c r="V189" s="33"/>
      <c r="W189" s="32"/>
      <c r="X189" s="33"/>
      <c r="Y189" s="32"/>
      <c r="Z189" s="32"/>
    </row>
    <row r="190" spans="1:26" ht="13.9" customHeight="1" x14ac:dyDescent="0.25">
      <c r="D190" s="20"/>
      <c r="E190" s="20"/>
      <c r="F190" s="20"/>
      <c r="G190" s="21" t="s">
        <v>1</v>
      </c>
      <c r="H190" s="21" t="s">
        <v>2</v>
      </c>
      <c r="I190" s="21" t="s">
        <v>3</v>
      </c>
      <c r="J190" s="21" t="s">
        <v>4</v>
      </c>
      <c r="K190" s="21" t="s">
        <v>5</v>
      </c>
      <c r="L190" s="21" t="s">
        <v>6</v>
      </c>
      <c r="M190" s="21" t="s">
        <v>7</v>
      </c>
      <c r="N190" s="21" t="s">
        <v>8</v>
      </c>
      <c r="O190" s="21" t="s">
        <v>9</v>
      </c>
      <c r="P190" s="21" t="s">
        <v>10</v>
      </c>
      <c r="Q190" s="21" t="s">
        <v>11</v>
      </c>
      <c r="R190" s="22" t="s">
        <v>12</v>
      </c>
      <c r="S190" s="21" t="s">
        <v>13</v>
      </c>
      <c r="T190" s="22" t="s">
        <v>14</v>
      </c>
      <c r="U190" s="21" t="s">
        <v>15</v>
      </c>
      <c r="V190" s="22" t="s">
        <v>16</v>
      </c>
      <c r="W190" s="21" t="s">
        <v>17</v>
      </c>
      <c r="X190" s="22" t="s">
        <v>18</v>
      </c>
      <c r="Y190" s="21" t="s">
        <v>19</v>
      </c>
      <c r="Z190" s="21" t="s">
        <v>20</v>
      </c>
    </row>
    <row r="191" spans="1:26" ht="13.9" customHeight="1" x14ac:dyDescent="0.25">
      <c r="A191" s="15">
        <v>3</v>
      </c>
      <c r="D191" s="12" t="s">
        <v>21</v>
      </c>
      <c r="E191" s="35">
        <v>111</v>
      </c>
      <c r="F191" s="35" t="s">
        <v>45</v>
      </c>
      <c r="G191" s="36">
        <f t="shared" ref="G191:Q191" si="109">G201</f>
        <v>659.52</v>
      </c>
      <c r="H191" s="36">
        <f t="shared" si="109"/>
        <v>0</v>
      </c>
      <c r="I191" s="36">
        <f t="shared" si="109"/>
        <v>0</v>
      </c>
      <c r="J191" s="36">
        <f t="shared" si="109"/>
        <v>1087</v>
      </c>
      <c r="K191" s="36">
        <f t="shared" si="109"/>
        <v>0</v>
      </c>
      <c r="L191" s="36">
        <f t="shared" si="109"/>
        <v>0</v>
      </c>
      <c r="M191" s="36">
        <f t="shared" si="109"/>
        <v>0</v>
      </c>
      <c r="N191" s="36">
        <f t="shared" si="109"/>
        <v>0</v>
      </c>
      <c r="O191" s="36">
        <f t="shared" si="109"/>
        <v>0</v>
      </c>
      <c r="P191" s="36">
        <f t="shared" si="109"/>
        <v>0</v>
      </c>
      <c r="Q191" s="36">
        <f t="shared" si="109"/>
        <v>0</v>
      </c>
      <c r="R191" s="37">
        <f>IFERROR(Q191/$P191,0)</f>
        <v>0</v>
      </c>
      <c r="S191" s="36">
        <f>S201</f>
        <v>0</v>
      </c>
      <c r="T191" s="37">
        <f>IFERROR(S191/$P191,0)</f>
        <v>0</v>
      </c>
      <c r="U191" s="36">
        <f>U201</f>
        <v>0</v>
      </c>
      <c r="V191" s="37">
        <f>IFERROR(U191/$P191,0)</f>
        <v>0</v>
      </c>
      <c r="W191" s="36">
        <f>W201</f>
        <v>0</v>
      </c>
      <c r="X191" s="37">
        <f>IFERROR(W191/$P191,0)</f>
        <v>0</v>
      </c>
      <c r="Y191" s="36">
        <f>Y201</f>
        <v>0</v>
      </c>
      <c r="Z191" s="36">
        <f>Z201</f>
        <v>0</v>
      </c>
    </row>
    <row r="192" spans="1:26" ht="13.9" customHeight="1" x14ac:dyDescent="0.25">
      <c r="A192" s="15">
        <v>3</v>
      </c>
      <c r="D192" s="12" t="s">
        <v>21</v>
      </c>
      <c r="E192" s="35">
        <v>41</v>
      </c>
      <c r="F192" s="35" t="s">
        <v>23</v>
      </c>
      <c r="G192" s="36">
        <f t="shared" ref="G192:Q192" si="110">G206</f>
        <v>35654.6</v>
      </c>
      <c r="H192" s="36">
        <f t="shared" si="110"/>
        <v>41268.28</v>
      </c>
      <c r="I192" s="36">
        <f t="shared" si="110"/>
        <v>38245</v>
      </c>
      <c r="J192" s="36">
        <f t="shared" si="110"/>
        <v>47513</v>
      </c>
      <c r="K192" s="36">
        <f t="shared" si="110"/>
        <v>47190</v>
      </c>
      <c r="L192" s="36">
        <f t="shared" si="110"/>
        <v>0</v>
      </c>
      <c r="M192" s="36">
        <f t="shared" si="110"/>
        <v>0</v>
      </c>
      <c r="N192" s="36">
        <f t="shared" si="110"/>
        <v>0</v>
      </c>
      <c r="O192" s="36">
        <f t="shared" si="110"/>
        <v>0</v>
      </c>
      <c r="P192" s="36">
        <f t="shared" si="110"/>
        <v>47190</v>
      </c>
      <c r="Q192" s="36">
        <f t="shared" si="110"/>
        <v>11021.560000000001</v>
      </c>
      <c r="R192" s="37">
        <f>IFERROR(Q192/$P192,0)</f>
        <v>0.23355710955710959</v>
      </c>
      <c r="S192" s="36">
        <f>S206</f>
        <v>0</v>
      </c>
      <c r="T192" s="37">
        <f>IFERROR(S192/$P192,0)</f>
        <v>0</v>
      </c>
      <c r="U192" s="36">
        <f>U206</f>
        <v>0</v>
      </c>
      <c r="V192" s="37">
        <f>IFERROR(U192/$P192,0)</f>
        <v>0</v>
      </c>
      <c r="W192" s="36">
        <f>W206</f>
        <v>0</v>
      </c>
      <c r="X192" s="37">
        <f>IFERROR(W192/$P192,0)</f>
        <v>0</v>
      </c>
      <c r="Y192" s="36">
        <f>Y206</f>
        <v>48268</v>
      </c>
      <c r="Z192" s="36">
        <f>Z206</f>
        <v>49507</v>
      </c>
    </row>
    <row r="193" spans="1:26" ht="13.9" customHeight="1" x14ac:dyDescent="0.25">
      <c r="A193" s="15">
        <v>3</v>
      </c>
      <c r="D193" s="12" t="s">
        <v>21</v>
      </c>
      <c r="E193" s="35">
        <v>72</v>
      </c>
      <c r="F193" s="35" t="s">
        <v>25</v>
      </c>
      <c r="G193" s="36">
        <f t="shared" ref="G193:Q193" si="111">G208</f>
        <v>171.89</v>
      </c>
      <c r="H193" s="36">
        <f t="shared" si="111"/>
        <v>163.91</v>
      </c>
      <c r="I193" s="36">
        <f t="shared" si="111"/>
        <v>179</v>
      </c>
      <c r="J193" s="36">
        <f t="shared" si="111"/>
        <v>218</v>
      </c>
      <c r="K193" s="36">
        <f t="shared" si="111"/>
        <v>0</v>
      </c>
      <c r="L193" s="36">
        <f t="shared" si="111"/>
        <v>0</v>
      </c>
      <c r="M193" s="36">
        <f t="shared" si="111"/>
        <v>0</v>
      </c>
      <c r="N193" s="36">
        <f t="shared" si="111"/>
        <v>0</v>
      </c>
      <c r="O193" s="36">
        <f t="shared" si="111"/>
        <v>0</v>
      </c>
      <c r="P193" s="36">
        <f t="shared" si="111"/>
        <v>0</v>
      </c>
      <c r="Q193" s="36">
        <f t="shared" si="111"/>
        <v>0</v>
      </c>
      <c r="R193" s="37">
        <f>IFERROR(Q193/$P193,0)</f>
        <v>0</v>
      </c>
      <c r="S193" s="36">
        <f>S208</f>
        <v>0</v>
      </c>
      <c r="T193" s="37">
        <f>IFERROR(S193/$P193,0)</f>
        <v>0</v>
      </c>
      <c r="U193" s="36">
        <f>U208</f>
        <v>0</v>
      </c>
      <c r="V193" s="37">
        <f>IFERROR(U193/$P193,0)</f>
        <v>0</v>
      </c>
      <c r="W193" s="36">
        <f>W208</f>
        <v>0</v>
      </c>
      <c r="X193" s="37">
        <f>IFERROR(W193/$P193,0)</f>
        <v>0</v>
      </c>
      <c r="Y193" s="36">
        <f>Y208</f>
        <v>0</v>
      </c>
      <c r="Z193" s="36">
        <f>Z208</f>
        <v>0</v>
      </c>
    </row>
    <row r="194" spans="1:26" ht="13.9" customHeight="1" x14ac:dyDescent="0.25">
      <c r="A194" s="15">
        <v>3</v>
      </c>
      <c r="D194" s="30"/>
      <c r="E194" s="31"/>
      <c r="F194" s="38" t="s">
        <v>122</v>
      </c>
      <c r="G194" s="39">
        <f t="shared" ref="G194:Q194" si="112">SUM(G191:G193)</f>
        <v>36486.009999999995</v>
      </c>
      <c r="H194" s="39">
        <f t="shared" si="112"/>
        <v>41432.19</v>
      </c>
      <c r="I194" s="39">
        <f t="shared" si="112"/>
        <v>38424</v>
      </c>
      <c r="J194" s="39">
        <f t="shared" si="112"/>
        <v>48818</v>
      </c>
      <c r="K194" s="39">
        <f t="shared" si="112"/>
        <v>47190</v>
      </c>
      <c r="L194" s="39">
        <f t="shared" si="112"/>
        <v>0</v>
      </c>
      <c r="M194" s="39">
        <f t="shared" si="112"/>
        <v>0</v>
      </c>
      <c r="N194" s="39">
        <f t="shared" si="112"/>
        <v>0</v>
      </c>
      <c r="O194" s="39">
        <f t="shared" si="112"/>
        <v>0</v>
      </c>
      <c r="P194" s="39">
        <f t="shared" si="112"/>
        <v>47190</v>
      </c>
      <c r="Q194" s="39">
        <f t="shared" si="112"/>
        <v>11021.560000000001</v>
      </c>
      <c r="R194" s="40">
        <f>IFERROR(Q194/$P194,0)</f>
        <v>0.23355710955710959</v>
      </c>
      <c r="S194" s="39">
        <f>SUM(S191:S193)</f>
        <v>0</v>
      </c>
      <c r="T194" s="40">
        <f>IFERROR(S194/$P194,0)</f>
        <v>0</v>
      </c>
      <c r="U194" s="39">
        <f>SUM(U191:U193)</f>
        <v>0</v>
      </c>
      <c r="V194" s="40">
        <f>IFERROR(U194/$P194,0)</f>
        <v>0</v>
      </c>
      <c r="W194" s="39">
        <f>SUM(W191:W193)</f>
        <v>0</v>
      </c>
      <c r="X194" s="40">
        <f>IFERROR(W194/$P194,0)</f>
        <v>0</v>
      </c>
      <c r="Y194" s="39">
        <f>SUM(Y191:Y193)</f>
        <v>48268</v>
      </c>
      <c r="Z194" s="39">
        <f>SUM(Z191:Z193)</f>
        <v>49507</v>
      </c>
    </row>
    <row r="196" spans="1:26" ht="13.9" customHeight="1" x14ac:dyDescent="0.25">
      <c r="D196" s="72" t="s">
        <v>179</v>
      </c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3"/>
      <c r="S196" s="72"/>
      <c r="T196" s="73"/>
      <c r="U196" s="72"/>
      <c r="V196" s="73"/>
      <c r="W196" s="72"/>
      <c r="X196" s="73"/>
      <c r="Y196" s="72"/>
      <c r="Z196" s="72"/>
    </row>
    <row r="197" spans="1:26" ht="13.9" customHeight="1" x14ac:dyDescent="0.25">
      <c r="D197" s="21" t="s">
        <v>32</v>
      </c>
      <c r="E197" s="21" t="s">
        <v>33</v>
      </c>
      <c r="F197" s="21" t="s">
        <v>34</v>
      </c>
      <c r="G197" s="21" t="s">
        <v>1</v>
      </c>
      <c r="H197" s="21" t="s">
        <v>2</v>
      </c>
      <c r="I197" s="21" t="s">
        <v>3</v>
      </c>
      <c r="J197" s="21" t="s">
        <v>4</v>
      </c>
      <c r="K197" s="21" t="s">
        <v>5</v>
      </c>
      <c r="L197" s="21" t="s">
        <v>6</v>
      </c>
      <c r="M197" s="21" t="s">
        <v>7</v>
      </c>
      <c r="N197" s="21" t="s">
        <v>8</v>
      </c>
      <c r="O197" s="21" t="s">
        <v>9</v>
      </c>
      <c r="P197" s="21" t="s">
        <v>10</v>
      </c>
      <c r="Q197" s="21" t="s">
        <v>11</v>
      </c>
      <c r="R197" s="22" t="s">
        <v>12</v>
      </c>
      <c r="S197" s="21" t="s">
        <v>13</v>
      </c>
      <c r="T197" s="22" t="s">
        <v>14</v>
      </c>
      <c r="U197" s="21" t="s">
        <v>15</v>
      </c>
      <c r="V197" s="22" t="s">
        <v>16</v>
      </c>
      <c r="W197" s="21" t="s">
        <v>17</v>
      </c>
      <c r="X197" s="22" t="s">
        <v>18</v>
      </c>
      <c r="Y197" s="21" t="s">
        <v>19</v>
      </c>
      <c r="Z197" s="21" t="s">
        <v>20</v>
      </c>
    </row>
    <row r="198" spans="1:26" ht="13.9" hidden="1" customHeight="1" x14ac:dyDescent="0.25">
      <c r="A198" s="15">
        <v>3</v>
      </c>
      <c r="B198" s="15">
        <v>1</v>
      </c>
      <c r="D198" s="10" t="s">
        <v>180</v>
      </c>
      <c r="E198" s="24">
        <v>610</v>
      </c>
      <c r="F198" s="24" t="s">
        <v>127</v>
      </c>
      <c r="G198" s="45">
        <v>0</v>
      </c>
      <c r="H198" s="45">
        <v>0</v>
      </c>
      <c r="I198" s="25">
        <v>0</v>
      </c>
      <c r="J198" s="25">
        <v>800</v>
      </c>
      <c r="K198" s="25">
        <v>0</v>
      </c>
      <c r="L198" s="25"/>
      <c r="M198" s="25"/>
      <c r="N198" s="25"/>
      <c r="O198" s="25"/>
      <c r="P198" s="45">
        <f>K198+SUM(L198:O198)</f>
        <v>0</v>
      </c>
      <c r="Q198" s="45"/>
      <c r="R198" s="46">
        <f t="shared" ref="R198:R209" si="113">IFERROR(Q198/$P198,0)</f>
        <v>0</v>
      </c>
      <c r="S198" s="45"/>
      <c r="T198" s="46">
        <f t="shared" ref="T198:T209" si="114">IFERROR(S198/$P198,0)</f>
        <v>0</v>
      </c>
      <c r="U198" s="45"/>
      <c r="V198" s="46">
        <f t="shared" ref="V198:V209" si="115">IFERROR(U198/$P198,0)</f>
        <v>0</v>
      </c>
      <c r="W198" s="45"/>
      <c r="X198" s="46">
        <f t="shared" ref="X198:X209" si="116">IFERROR(W198/$P198,0)</f>
        <v>0</v>
      </c>
      <c r="Y198" s="25">
        <f>K198</f>
        <v>0</v>
      </c>
      <c r="Z198" s="25">
        <f>Y198</f>
        <v>0</v>
      </c>
    </row>
    <row r="199" spans="1:26" ht="13.9" hidden="1" customHeight="1" x14ac:dyDescent="0.25">
      <c r="A199" s="15">
        <v>3</v>
      </c>
      <c r="B199" s="15">
        <v>1</v>
      </c>
      <c r="D199" s="10"/>
      <c r="E199" s="24">
        <v>620</v>
      </c>
      <c r="F199" s="24" t="s">
        <v>128</v>
      </c>
      <c r="G199" s="45">
        <v>0</v>
      </c>
      <c r="H199" s="45">
        <v>0</v>
      </c>
      <c r="I199" s="25">
        <v>0</v>
      </c>
      <c r="J199" s="25">
        <v>287</v>
      </c>
      <c r="K199" s="25">
        <v>0</v>
      </c>
      <c r="L199" s="25"/>
      <c r="M199" s="25"/>
      <c r="N199" s="25"/>
      <c r="O199" s="25"/>
      <c r="P199" s="45">
        <f>K199+SUM(L199:O199)</f>
        <v>0</v>
      </c>
      <c r="Q199" s="45"/>
      <c r="R199" s="46">
        <f t="shared" si="113"/>
        <v>0</v>
      </c>
      <c r="S199" s="45"/>
      <c r="T199" s="46">
        <f t="shared" si="114"/>
        <v>0</v>
      </c>
      <c r="U199" s="45"/>
      <c r="V199" s="46">
        <f t="shared" si="115"/>
        <v>0</v>
      </c>
      <c r="W199" s="45"/>
      <c r="X199" s="46">
        <f t="shared" si="116"/>
        <v>0</v>
      </c>
      <c r="Y199" s="25">
        <f>K199</f>
        <v>0</v>
      </c>
      <c r="Z199" s="25">
        <f>Y199</f>
        <v>0</v>
      </c>
    </row>
    <row r="200" spans="1:26" ht="13.9" hidden="1" customHeight="1" x14ac:dyDescent="0.25">
      <c r="A200" s="15">
        <v>3</v>
      </c>
      <c r="B200" s="15">
        <v>1</v>
      </c>
      <c r="D200" s="10"/>
      <c r="E200" s="24">
        <v>630</v>
      </c>
      <c r="F200" s="24" t="s">
        <v>129</v>
      </c>
      <c r="G200" s="45">
        <v>659.52</v>
      </c>
      <c r="H200" s="45">
        <v>0</v>
      </c>
      <c r="I200" s="25">
        <v>0</v>
      </c>
      <c r="J200" s="25">
        <v>0</v>
      </c>
      <c r="K200" s="25">
        <v>0</v>
      </c>
      <c r="L200" s="25"/>
      <c r="M200" s="25"/>
      <c r="N200" s="25"/>
      <c r="O200" s="25"/>
      <c r="P200" s="45">
        <f>K200+SUM(L200:O200)</f>
        <v>0</v>
      </c>
      <c r="Q200" s="45"/>
      <c r="R200" s="46">
        <f t="shared" si="113"/>
        <v>0</v>
      </c>
      <c r="S200" s="45"/>
      <c r="T200" s="46">
        <f t="shared" si="114"/>
        <v>0</v>
      </c>
      <c r="U200" s="45"/>
      <c r="V200" s="46">
        <f t="shared" si="115"/>
        <v>0</v>
      </c>
      <c r="W200" s="45"/>
      <c r="X200" s="46">
        <f t="shared" si="116"/>
        <v>0</v>
      </c>
      <c r="Y200" s="25">
        <f>K200</f>
        <v>0</v>
      </c>
      <c r="Z200" s="25">
        <f>Y200</f>
        <v>0</v>
      </c>
    </row>
    <row r="201" spans="1:26" ht="13.9" hidden="1" customHeight="1" x14ac:dyDescent="0.25">
      <c r="A201" s="15">
        <v>3</v>
      </c>
      <c r="B201" s="15">
        <v>1</v>
      </c>
      <c r="D201" s="79" t="s">
        <v>21</v>
      </c>
      <c r="E201" s="47">
        <v>111</v>
      </c>
      <c r="F201" s="47" t="s">
        <v>23</v>
      </c>
      <c r="G201" s="48">
        <f t="shared" ref="G201:Q201" si="117">SUM(G198:G200)</f>
        <v>659.52</v>
      </c>
      <c r="H201" s="48">
        <f t="shared" si="117"/>
        <v>0</v>
      </c>
      <c r="I201" s="48">
        <f t="shared" si="117"/>
        <v>0</v>
      </c>
      <c r="J201" s="48">
        <f t="shared" si="117"/>
        <v>1087</v>
      </c>
      <c r="K201" s="48">
        <f t="shared" si="117"/>
        <v>0</v>
      </c>
      <c r="L201" s="48">
        <f t="shared" si="117"/>
        <v>0</v>
      </c>
      <c r="M201" s="48">
        <f t="shared" si="117"/>
        <v>0</v>
      </c>
      <c r="N201" s="48">
        <f t="shared" si="117"/>
        <v>0</v>
      </c>
      <c r="O201" s="48">
        <f t="shared" si="117"/>
        <v>0</v>
      </c>
      <c r="P201" s="48">
        <f t="shared" si="117"/>
        <v>0</v>
      </c>
      <c r="Q201" s="48">
        <f t="shared" si="117"/>
        <v>0</v>
      </c>
      <c r="R201" s="49">
        <f t="shared" si="113"/>
        <v>0</v>
      </c>
      <c r="S201" s="48">
        <f>SUM(S198:S200)</f>
        <v>0</v>
      </c>
      <c r="T201" s="49">
        <f t="shared" si="114"/>
        <v>0</v>
      </c>
      <c r="U201" s="48">
        <f>SUM(U198:U200)</f>
        <v>0</v>
      </c>
      <c r="V201" s="49">
        <f t="shared" si="115"/>
        <v>0</v>
      </c>
      <c r="W201" s="48">
        <f>SUM(W198:W200)</f>
        <v>0</v>
      </c>
      <c r="X201" s="49">
        <f t="shared" si="116"/>
        <v>0</v>
      </c>
      <c r="Y201" s="48">
        <f>SUM(Y198:Y200)</f>
        <v>0</v>
      </c>
      <c r="Z201" s="48">
        <f>SUM(Z198:Z200)</f>
        <v>0</v>
      </c>
    </row>
    <row r="202" spans="1:26" ht="13.9" customHeight="1" x14ac:dyDescent="0.25">
      <c r="A202" s="15">
        <v>3</v>
      </c>
      <c r="B202" s="15">
        <v>1</v>
      </c>
      <c r="D202" s="10" t="s">
        <v>180</v>
      </c>
      <c r="E202" s="24">
        <v>610</v>
      </c>
      <c r="F202" s="24" t="s">
        <v>127</v>
      </c>
      <c r="G202" s="25">
        <v>14189.72</v>
      </c>
      <c r="H202" s="25">
        <v>15805.87</v>
      </c>
      <c r="I202" s="25">
        <v>15476</v>
      </c>
      <c r="J202" s="25">
        <v>15271</v>
      </c>
      <c r="K202" s="25">
        <v>14976</v>
      </c>
      <c r="L202" s="25"/>
      <c r="M202" s="25"/>
      <c r="N202" s="25"/>
      <c r="O202" s="25"/>
      <c r="P202" s="25">
        <f>K202+SUM(L202:O202)</f>
        <v>14976</v>
      </c>
      <c r="Q202" s="25">
        <v>4823.28</v>
      </c>
      <c r="R202" s="26">
        <f t="shared" si="113"/>
        <v>0.32206730769230768</v>
      </c>
      <c r="S202" s="25"/>
      <c r="T202" s="26">
        <f t="shared" si="114"/>
        <v>0</v>
      </c>
      <c r="U202" s="25"/>
      <c r="V202" s="26">
        <f t="shared" si="115"/>
        <v>0</v>
      </c>
      <c r="W202" s="25"/>
      <c r="X202" s="26">
        <f t="shared" si="116"/>
        <v>0</v>
      </c>
      <c r="Y202" s="25">
        <v>15704</v>
      </c>
      <c r="Z202" s="25">
        <v>16470</v>
      </c>
    </row>
    <row r="203" spans="1:26" ht="13.9" customHeight="1" x14ac:dyDescent="0.25">
      <c r="A203" s="15">
        <v>3</v>
      </c>
      <c r="B203" s="15">
        <v>1</v>
      </c>
      <c r="D203" s="10"/>
      <c r="E203" s="24">
        <v>620</v>
      </c>
      <c r="F203" s="24" t="s">
        <v>128</v>
      </c>
      <c r="G203" s="25">
        <v>4958.96</v>
      </c>
      <c r="H203" s="25">
        <v>5665.84</v>
      </c>
      <c r="I203" s="25">
        <v>5564</v>
      </c>
      <c r="J203" s="25">
        <v>5490</v>
      </c>
      <c r="K203" s="25">
        <v>5384</v>
      </c>
      <c r="L203" s="25"/>
      <c r="M203" s="25"/>
      <c r="N203" s="25"/>
      <c r="O203" s="25"/>
      <c r="P203" s="25">
        <f>K203+SUM(L203:O203)</f>
        <v>5384</v>
      </c>
      <c r="Q203" s="25">
        <v>1424.39</v>
      </c>
      <c r="R203" s="26">
        <f t="shared" si="113"/>
        <v>0.26455980683506686</v>
      </c>
      <c r="S203" s="25"/>
      <c r="T203" s="26">
        <f t="shared" si="114"/>
        <v>0</v>
      </c>
      <c r="U203" s="25"/>
      <c r="V203" s="26">
        <f t="shared" si="115"/>
        <v>0</v>
      </c>
      <c r="W203" s="25"/>
      <c r="X203" s="26">
        <f t="shared" si="116"/>
        <v>0</v>
      </c>
      <c r="Y203" s="25">
        <v>5646</v>
      </c>
      <c r="Z203" s="25">
        <v>5922</v>
      </c>
    </row>
    <row r="204" spans="1:26" ht="13.9" customHeight="1" x14ac:dyDescent="0.25">
      <c r="A204" s="15">
        <v>3</v>
      </c>
      <c r="B204" s="15">
        <v>1</v>
      </c>
      <c r="D204" s="10"/>
      <c r="E204" s="24">
        <v>630</v>
      </c>
      <c r="F204" s="24" t="s">
        <v>129</v>
      </c>
      <c r="G204" s="25">
        <v>16505.919999999998</v>
      </c>
      <c r="H204" s="25">
        <v>19796.57</v>
      </c>
      <c r="I204" s="25">
        <v>17205</v>
      </c>
      <c r="J204" s="25">
        <v>26752</v>
      </c>
      <c r="K204" s="25">
        <f>1611+25219</f>
        <v>26830</v>
      </c>
      <c r="L204" s="25"/>
      <c r="M204" s="25"/>
      <c r="N204" s="25"/>
      <c r="O204" s="25"/>
      <c r="P204" s="25">
        <f>K204+SUM(L204:O204)</f>
        <v>26830</v>
      </c>
      <c r="Q204" s="25">
        <v>4773.8900000000003</v>
      </c>
      <c r="R204" s="26">
        <f t="shared" si="113"/>
        <v>0.1779310473350727</v>
      </c>
      <c r="S204" s="25"/>
      <c r="T204" s="26">
        <f t="shared" si="114"/>
        <v>0</v>
      </c>
      <c r="U204" s="25"/>
      <c r="V204" s="26">
        <f t="shared" si="115"/>
        <v>0</v>
      </c>
      <c r="W204" s="25"/>
      <c r="X204" s="26">
        <f t="shared" si="116"/>
        <v>0</v>
      </c>
      <c r="Y204" s="25">
        <f>1699+25219</f>
        <v>26918</v>
      </c>
      <c r="Z204" s="25">
        <f>1896+25219</f>
        <v>27115</v>
      </c>
    </row>
    <row r="205" spans="1:26" ht="13.9" hidden="1" customHeight="1" x14ac:dyDescent="0.25">
      <c r="A205" s="15">
        <v>3</v>
      </c>
      <c r="B205" s="15">
        <v>1</v>
      </c>
      <c r="D205" s="10"/>
      <c r="E205" s="24">
        <v>640</v>
      </c>
      <c r="F205" s="24" t="s">
        <v>130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/>
      <c r="M205" s="25"/>
      <c r="N205" s="25"/>
      <c r="O205" s="25"/>
      <c r="P205" s="25">
        <f>K205+SUM(L205:O205)</f>
        <v>0</v>
      </c>
      <c r="Q205" s="25"/>
      <c r="R205" s="26">
        <f t="shared" si="113"/>
        <v>0</v>
      </c>
      <c r="S205" s="25"/>
      <c r="T205" s="26">
        <f t="shared" si="114"/>
        <v>0</v>
      </c>
      <c r="U205" s="25"/>
      <c r="V205" s="26">
        <f t="shared" si="115"/>
        <v>0</v>
      </c>
      <c r="W205" s="25"/>
      <c r="X205" s="26">
        <f t="shared" si="116"/>
        <v>0</v>
      </c>
      <c r="Y205" s="25">
        <v>0</v>
      </c>
      <c r="Z205" s="25">
        <v>0</v>
      </c>
    </row>
    <row r="206" spans="1:26" ht="13.9" customHeight="1" x14ac:dyDescent="0.25">
      <c r="A206" s="15">
        <v>3</v>
      </c>
      <c r="B206" s="15">
        <v>1</v>
      </c>
      <c r="D206" s="79" t="s">
        <v>21</v>
      </c>
      <c r="E206" s="47">
        <v>41</v>
      </c>
      <c r="F206" s="47" t="s">
        <v>23</v>
      </c>
      <c r="G206" s="48">
        <f t="shared" ref="G206:Q206" si="118">SUM(G202:G205)</f>
        <v>35654.6</v>
      </c>
      <c r="H206" s="48">
        <f t="shared" si="118"/>
        <v>41268.28</v>
      </c>
      <c r="I206" s="48">
        <f t="shared" si="118"/>
        <v>38245</v>
      </c>
      <c r="J206" s="48">
        <f t="shared" si="118"/>
        <v>47513</v>
      </c>
      <c r="K206" s="48">
        <f t="shared" si="118"/>
        <v>47190</v>
      </c>
      <c r="L206" s="48">
        <f t="shared" si="118"/>
        <v>0</v>
      </c>
      <c r="M206" s="48">
        <f t="shared" si="118"/>
        <v>0</v>
      </c>
      <c r="N206" s="48">
        <f t="shared" si="118"/>
        <v>0</v>
      </c>
      <c r="O206" s="48">
        <f t="shared" si="118"/>
        <v>0</v>
      </c>
      <c r="P206" s="48">
        <f t="shared" si="118"/>
        <v>47190</v>
      </c>
      <c r="Q206" s="48">
        <f t="shared" si="118"/>
        <v>11021.560000000001</v>
      </c>
      <c r="R206" s="49">
        <f t="shared" si="113"/>
        <v>0.23355710955710959</v>
      </c>
      <c r="S206" s="48">
        <f>SUM(S202:S205)</f>
        <v>0</v>
      </c>
      <c r="T206" s="49">
        <f t="shared" si="114"/>
        <v>0</v>
      </c>
      <c r="U206" s="48">
        <f>SUM(U202:U205)</f>
        <v>0</v>
      </c>
      <c r="V206" s="49">
        <f t="shared" si="115"/>
        <v>0</v>
      </c>
      <c r="W206" s="48">
        <f>SUM(W202:W205)</f>
        <v>0</v>
      </c>
      <c r="X206" s="49">
        <f t="shared" si="116"/>
        <v>0</v>
      </c>
      <c r="Y206" s="48">
        <f>SUM(Y202:Y205)</f>
        <v>48268</v>
      </c>
      <c r="Z206" s="48">
        <f>SUM(Z202:Z205)</f>
        <v>49507</v>
      </c>
    </row>
    <row r="207" spans="1:26" ht="13.9" customHeight="1" x14ac:dyDescent="0.25">
      <c r="A207" s="15">
        <v>3</v>
      </c>
      <c r="B207" s="15">
        <v>1</v>
      </c>
      <c r="D207" s="91" t="s">
        <v>180</v>
      </c>
      <c r="E207" s="24">
        <v>640</v>
      </c>
      <c r="F207" s="24" t="s">
        <v>130</v>
      </c>
      <c r="G207" s="25">
        <v>171.89</v>
      </c>
      <c r="H207" s="25">
        <v>163.91</v>
      </c>
      <c r="I207" s="25">
        <v>179</v>
      </c>
      <c r="J207" s="25">
        <v>218</v>
      </c>
      <c r="K207" s="25">
        <v>0</v>
      </c>
      <c r="L207" s="25"/>
      <c r="M207" s="25"/>
      <c r="N207" s="25"/>
      <c r="O207" s="25"/>
      <c r="P207" s="25">
        <f>K207+SUM(L207:O207)</f>
        <v>0</v>
      </c>
      <c r="Q207" s="25">
        <v>0</v>
      </c>
      <c r="R207" s="26">
        <f t="shared" si="113"/>
        <v>0</v>
      </c>
      <c r="S207" s="25"/>
      <c r="T207" s="26">
        <f t="shared" si="114"/>
        <v>0</v>
      </c>
      <c r="U207" s="25"/>
      <c r="V207" s="26">
        <f t="shared" si="115"/>
        <v>0</v>
      </c>
      <c r="W207" s="25"/>
      <c r="X207" s="26">
        <f t="shared" si="116"/>
        <v>0</v>
      </c>
      <c r="Y207" s="25">
        <f>K207</f>
        <v>0</v>
      </c>
      <c r="Z207" s="25">
        <f>Y207</f>
        <v>0</v>
      </c>
    </row>
    <row r="208" spans="1:26" ht="13.9" customHeight="1" x14ac:dyDescent="0.25">
      <c r="A208" s="15">
        <v>3</v>
      </c>
      <c r="B208" s="15">
        <v>1</v>
      </c>
      <c r="D208" s="79" t="s">
        <v>21</v>
      </c>
      <c r="E208" s="47">
        <v>72</v>
      </c>
      <c r="F208" s="47" t="s">
        <v>25</v>
      </c>
      <c r="G208" s="48">
        <f t="shared" ref="G208:Q208" si="119">SUM(G207)</f>
        <v>171.89</v>
      </c>
      <c r="H208" s="48">
        <f t="shared" si="119"/>
        <v>163.91</v>
      </c>
      <c r="I208" s="48">
        <f t="shared" si="119"/>
        <v>179</v>
      </c>
      <c r="J208" s="48">
        <f t="shared" si="119"/>
        <v>218</v>
      </c>
      <c r="K208" s="48">
        <f t="shared" si="119"/>
        <v>0</v>
      </c>
      <c r="L208" s="48">
        <f t="shared" si="119"/>
        <v>0</v>
      </c>
      <c r="M208" s="48">
        <f t="shared" si="119"/>
        <v>0</v>
      </c>
      <c r="N208" s="48">
        <f t="shared" si="119"/>
        <v>0</v>
      </c>
      <c r="O208" s="48">
        <f t="shared" si="119"/>
        <v>0</v>
      </c>
      <c r="P208" s="48">
        <f t="shared" si="119"/>
        <v>0</v>
      </c>
      <c r="Q208" s="48">
        <f t="shared" si="119"/>
        <v>0</v>
      </c>
      <c r="R208" s="49">
        <f t="shared" si="113"/>
        <v>0</v>
      </c>
      <c r="S208" s="48">
        <f>SUM(S207)</f>
        <v>0</v>
      </c>
      <c r="T208" s="49">
        <f t="shared" si="114"/>
        <v>0</v>
      </c>
      <c r="U208" s="48">
        <f>SUM(U207)</f>
        <v>0</v>
      </c>
      <c r="V208" s="49">
        <f t="shared" si="115"/>
        <v>0</v>
      </c>
      <c r="W208" s="48">
        <f>SUM(W207)</f>
        <v>0</v>
      </c>
      <c r="X208" s="49">
        <f t="shared" si="116"/>
        <v>0</v>
      </c>
      <c r="Y208" s="48">
        <f>SUM(Y207)</f>
        <v>0</v>
      </c>
      <c r="Z208" s="48">
        <f>SUM(Z207)</f>
        <v>0</v>
      </c>
    </row>
    <row r="209" spans="1:26" ht="13.9" customHeight="1" x14ac:dyDescent="0.25">
      <c r="A209" s="15">
        <v>3</v>
      </c>
      <c r="B209" s="15">
        <v>1</v>
      </c>
      <c r="D209" s="122"/>
      <c r="E209" s="31"/>
      <c r="F209" s="27" t="s">
        <v>122</v>
      </c>
      <c r="G209" s="28">
        <f t="shared" ref="G209:Q209" si="120">G201+G206+G208</f>
        <v>36486.009999999995</v>
      </c>
      <c r="H209" s="28">
        <f t="shared" si="120"/>
        <v>41432.19</v>
      </c>
      <c r="I209" s="28">
        <f t="shared" si="120"/>
        <v>38424</v>
      </c>
      <c r="J209" s="28">
        <f t="shared" si="120"/>
        <v>48818</v>
      </c>
      <c r="K209" s="28">
        <f t="shared" si="120"/>
        <v>47190</v>
      </c>
      <c r="L209" s="28">
        <f t="shared" si="120"/>
        <v>0</v>
      </c>
      <c r="M209" s="28">
        <f t="shared" si="120"/>
        <v>0</v>
      </c>
      <c r="N209" s="28">
        <f t="shared" si="120"/>
        <v>0</v>
      </c>
      <c r="O209" s="28">
        <f t="shared" si="120"/>
        <v>0</v>
      </c>
      <c r="P209" s="28">
        <f t="shared" si="120"/>
        <v>47190</v>
      </c>
      <c r="Q209" s="28">
        <f t="shared" si="120"/>
        <v>11021.560000000001</v>
      </c>
      <c r="R209" s="29">
        <f t="shared" si="113"/>
        <v>0.23355710955710959</v>
      </c>
      <c r="S209" s="28">
        <f>S201+S206+S208</f>
        <v>0</v>
      </c>
      <c r="T209" s="29">
        <f t="shared" si="114"/>
        <v>0</v>
      </c>
      <c r="U209" s="28">
        <f>U201+U206+U208</f>
        <v>0</v>
      </c>
      <c r="V209" s="29">
        <f t="shared" si="115"/>
        <v>0</v>
      </c>
      <c r="W209" s="28">
        <f>W201+W206+W208</f>
        <v>0</v>
      </c>
      <c r="X209" s="29">
        <f t="shared" si="116"/>
        <v>0</v>
      </c>
      <c r="Y209" s="28">
        <f>Y201+Y206+Y208</f>
        <v>48268</v>
      </c>
      <c r="Z209" s="28">
        <f>Z201+Z206+Z208</f>
        <v>49507</v>
      </c>
    </row>
    <row r="211" spans="1:26" ht="13.9" customHeight="1" x14ac:dyDescent="0.25">
      <c r="E211" s="51" t="s">
        <v>55</v>
      </c>
      <c r="F211" s="30" t="s">
        <v>58</v>
      </c>
      <c r="G211" s="102">
        <v>2980.38</v>
      </c>
      <c r="H211" s="102">
        <v>1580.51</v>
      </c>
      <c r="I211" s="102">
        <v>1770</v>
      </c>
      <c r="J211" s="102">
        <v>5704</v>
      </c>
      <c r="K211" s="102">
        <v>5700</v>
      </c>
      <c r="L211" s="102"/>
      <c r="M211" s="102"/>
      <c r="N211" s="102"/>
      <c r="O211" s="102"/>
      <c r="P211" s="102">
        <f t="shared" ref="P211:P216" si="121">K211+SUM(L211:O211)</f>
        <v>5700</v>
      </c>
      <c r="Q211" s="102">
        <v>713.72</v>
      </c>
      <c r="R211" s="123">
        <f t="shared" ref="R211:R216" si="122">IFERROR(Q211/$P211,0)</f>
        <v>0.12521403508771931</v>
      </c>
      <c r="S211" s="102"/>
      <c r="T211" s="123">
        <f t="shared" ref="T211:T216" si="123">IFERROR(S211/$P211,0)</f>
        <v>0</v>
      </c>
      <c r="U211" s="102"/>
      <c r="V211" s="123">
        <f t="shared" ref="V211:V216" si="124">IFERROR(U211/$P211,0)</f>
        <v>0</v>
      </c>
      <c r="W211" s="102"/>
      <c r="X211" s="124">
        <f t="shared" ref="X211:X216" si="125">IFERROR(W211/$P211,0)</f>
        <v>0</v>
      </c>
      <c r="Y211" s="52">
        <f t="shared" ref="Y211:Y216" si="126">K211</f>
        <v>5700</v>
      </c>
      <c r="Z211" s="55">
        <f t="shared" ref="Z211:Z216" si="127">Y211</f>
        <v>5700</v>
      </c>
    </row>
    <row r="212" spans="1:26" ht="13.9" customHeight="1" x14ac:dyDescent="0.25">
      <c r="E212" s="56"/>
      <c r="F212" s="92" t="s">
        <v>143</v>
      </c>
      <c r="G212" s="93">
        <v>3649.77</v>
      </c>
      <c r="H212" s="93">
        <v>1514.55</v>
      </c>
      <c r="I212" s="93">
        <v>1495</v>
      </c>
      <c r="J212" s="93">
        <v>1780</v>
      </c>
      <c r="K212" s="93">
        <v>1780</v>
      </c>
      <c r="L212" s="93"/>
      <c r="M212" s="93"/>
      <c r="N212" s="93"/>
      <c r="O212" s="93"/>
      <c r="P212" s="93">
        <f t="shared" si="121"/>
        <v>1780</v>
      </c>
      <c r="Q212" s="93">
        <v>231.9</v>
      </c>
      <c r="R212" s="94">
        <f t="shared" si="122"/>
        <v>0.13028089887640451</v>
      </c>
      <c r="S212" s="93"/>
      <c r="T212" s="94">
        <f t="shared" si="123"/>
        <v>0</v>
      </c>
      <c r="U212" s="93"/>
      <c r="V212" s="94">
        <f t="shared" si="124"/>
        <v>0</v>
      </c>
      <c r="W212" s="93"/>
      <c r="X212" s="63">
        <f t="shared" si="125"/>
        <v>0</v>
      </c>
      <c r="Y212" s="58">
        <f t="shared" si="126"/>
        <v>1780</v>
      </c>
      <c r="Z212" s="60">
        <f t="shared" si="127"/>
        <v>1780</v>
      </c>
    </row>
    <row r="213" spans="1:26" ht="13.9" customHeight="1" x14ac:dyDescent="0.25">
      <c r="E213" s="56"/>
      <c r="F213" s="57" t="s">
        <v>181</v>
      </c>
      <c r="G213" s="61">
        <v>5431.51</v>
      </c>
      <c r="H213" s="61">
        <v>5690.21</v>
      </c>
      <c r="I213" s="61">
        <v>5000</v>
      </c>
      <c r="J213" s="61">
        <v>9722</v>
      </c>
      <c r="K213" s="61">
        <v>9750</v>
      </c>
      <c r="L213" s="61"/>
      <c r="M213" s="61"/>
      <c r="N213" s="61"/>
      <c r="O213" s="61"/>
      <c r="P213" s="61">
        <f t="shared" si="121"/>
        <v>9750</v>
      </c>
      <c r="Q213" s="61">
        <v>0</v>
      </c>
      <c r="R213" s="62">
        <f t="shared" si="122"/>
        <v>0</v>
      </c>
      <c r="S213" s="61"/>
      <c r="T213" s="62">
        <f t="shared" si="123"/>
        <v>0</v>
      </c>
      <c r="U213" s="61"/>
      <c r="V213" s="62">
        <f t="shared" si="124"/>
        <v>0</v>
      </c>
      <c r="W213" s="61"/>
      <c r="X213" s="63">
        <f t="shared" si="125"/>
        <v>0</v>
      </c>
      <c r="Y213" s="58">
        <f t="shared" si="126"/>
        <v>9750</v>
      </c>
      <c r="Z213" s="60">
        <f t="shared" si="127"/>
        <v>9750</v>
      </c>
    </row>
    <row r="214" spans="1:26" ht="13.9" customHeight="1" x14ac:dyDescent="0.25">
      <c r="E214" s="56"/>
      <c r="F214" s="15" t="s">
        <v>182</v>
      </c>
      <c r="G214" s="58">
        <v>1620</v>
      </c>
      <c r="H214" s="58">
        <v>2160</v>
      </c>
      <c r="I214" s="58">
        <v>2160</v>
      </c>
      <c r="J214" s="58">
        <v>2201</v>
      </c>
      <c r="K214" s="58">
        <v>2214</v>
      </c>
      <c r="L214" s="58"/>
      <c r="M214" s="58"/>
      <c r="N214" s="58"/>
      <c r="O214" s="58"/>
      <c r="P214" s="58">
        <f t="shared" si="121"/>
        <v>2214</v>
      </c>
      <c r="Q214" s="58">
        <v>553.5</v>
      </c>
      <c r="R214" s="16">
        <f t="shared" si="122"/>
        <v>0.25</v>
      </c>
      <c r="S214" s="58"/>
      <c r="T214" s="16">
        <f t="shared" si="123"/>
        <v>0</v>
      </c>
      <c r="U214" s="58"/>
      <c r="V214" s="16">
        <f t="shared" si="124"/>
        <v>0</v>
      </c>
      <c r="W214" s="58"/>
      <c r="X214" s="59">
        <f t="shared" si="125"/>
        <v>0</v>
      </c>
      <c r="Y214" s="58">
        <f t="shared" si="126"/>
        <v>2214</v>
      </c>
      <c r="Z214" s="60">
        <f t="shared" si="127"/>
        <v>2214</v>
      </c>
    </row>
    <row r="215" spans="1:26" ht="13.9" customHeight="1" x14ac:dyDescent="0.25">
      <c r="E215" s="103"/>
      <c r="F215" s="119" t="s">
        <v>183</v>
      </c>
      <c r="G215" s="108">
        <v>453.05</v>
      </c>
      <c r="H215" s="108">
        <v>1517.8</v>
      </c>
      <c r="I215" s="108">
        <v>1520</v>
      </c>
      <c r="J215" s="108">
        <v>2178</v>
      </c>
      <c r="K215" s="108">
        <v>2180</v>
      </c>
      <c r="L215" s="108"/>
      <c r="M215" s="108"/>
      <c r="N215" s="108"/>
      <c r="O215" s="108"/>
      <c r="P215" s="108">
        <f t="shared" si="121"/>
        <v>2180</v>
      </c>
      <c r="Q215" s="108">
        <v>757.12</v>
      </c>
      <c r="R215" s="125">
        <f t="shared" si="122"/>
        <v>0.34730275229357799</v>
      </c>
      <c r="S215" s="108"/>
      <c r="T215" s="125">
        <f t="shared" si="123"/>
        <v>0</v>
      </c>
      <c r="U215" s="108"/>
      <c r="V215" s="125">
        <f t="shared" si="124"/>
        <v>0</v>
      </c>
      <c r="W215" s="108"/>
      <c r="X215" s="126">
        <f t="shared" si="125"/>
        <v>0</v>
      </c>
      <c r="Y215" s="58">
        <f t="shared" si="126"/>
        <v>2180</v>
      </c>
      <c r="Z215" s="60">
        <f t="shared" si="127"/>
        <v>2180</v>
      </c>
    </row>
    <row r="216" spans="1:26" ht="13.9" hidden="1" customHeight="1" x14ac:dyDescent="0.25">
      <c r="E216" s="64"/>
      <c r="F216" s="97" t="s">
        <v>184</v>
      </c>
      <c r="G216" s="66"/>
      <c r="H216" s="66">
        <v>3000</v>
      </c>
      <c r="I216" s="66"/>
      <c r="J216" s="66"/>
      <c r="K216" s="66"/>
      <c r="L216" s="66"/>
      <c r="M216" s="66"/>
      <c r="N216" s="66"/>
      <c r="O216" s="66"/>
      <c r="P216" s="66">
        <f t="shared" si="121"/>
        <v>0</v>
      </c>
      <c r="Q216" s="66"/>
      <c r="R216" s="67">
        <f t="shared" si="122"/>
        <v>0</v>
      </c>
      <c r="S216" s="66"/>
      <c r="T216" s="67">
        <f t="shared" si="123"/>
        <v>0</v>
      </c>
      <c r="U216" s="66"/>
      <c r="V216" s="67">
        <f t="shared" si="124"/>
        <v>0</v>
      </c>
      <c r="W216" s="66"/>
      <c r="X216" s="68">
        <f t="shared" si="125"/>
        <v>0</v>
      </c>
      <c r="Y216" s="66">
        <f t="shared" si="126"/>
        <v>0</v>
      </c>
      <c r="Z216" s="69">
        <f t="shared" si="127"/>
        <v>0</v>
      </c>
    </row>
    <row r="218" spans="1:26" ht="13.9" customHeight="1" x14ac:dyDescent="0.25">
      <c r="D218" s="32" t="s">
        <v>185</v>
      </c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3"/>
      <c r="S218" s="32"/>
      <c r="T218" s="33"/>
      <c r="U218" s="32"/>
      <c r="V218" s="33"/>
      <c r="W218" s="32"/>
      <c r="X218" s="33"/>
      <c r="Y218" s="32"/>
      <c r="Z218" s="32"/>
    </row>
    <row r="219" spans="1:26" ht="13.9" customHeight="1" x14ac:dyDescent="0.25">
      <c r="D219" s="20"/>
      <c r="E219" s="20"/>
      <c r="F219" s="20"/>
      <c r="G219" s="21" t="s">
        <v>1</v>
      </c>
      <c r="H219" s="21" t="s">
        <v>2</v>
      </c>
      <c r="I219" s="21" t="s">
        <v>3</v>
      </c>
      <c r="J219" s="21" t="s">
        <v>4</v>
      </c>
      <c r="K219" s="21" t="s">
        <v>5</v>
      </c>
      <c r="L219" s="21" t="s">
        <v>6</v>
      </c>
      <c r="M219" s="21" t="s">
        <v>7</v>
      </c>
      <c r="N219" s="21" t="s">
        <v>8</v>
      </c>
      <c r="O219" s="21" t="s">
        <v>9</v>
      </c>
      <c r="P219" s="21" t="s">
        <v>10</v>
      </c>
      <c r="Q219" s="21" t="s">
        <v>11</v>
      </c>
      <c r="R219" s="22" t="s">
        <v>12</v>
      </c>
      <c r="S219" s="21" t="s">
        <v>13</v>
      </c>
      <c r="T219" s="22" t="s">
        <v>14</v>
      </c>
      <c r="U219" s="21" t="s">
        <v>15</v>
      </c>
      <c r="V219" s="22" t="s">
        <v>16</v>
      </c>
      <c r="W219" s="21" t="s">
        <v>17</v>
      </c>
      <c r="X219" s="22" t="s">
        <v>18</v>
      </c>
      <c r="Y219" s="21" t="s">
        <v>19</v>
      </c>
      <c r="Z219" s="21" t="s">
        <v>20</v>
      </c>
    </row>
    <row r="220" spans="1:26" ht="13.9" customHeight="1" x14ac:dyDescent="0.25">
      <c r="A220" s="15">
        <v>4</v>
      </c>
      <c r="D220" s="2" t="s">
        <v>21</v>
      </c>
      <c r="E220" s="35">
        <v>111</v>
      </c>
      <c r="F220" s="35" t="s">
        <v>45</v>
      </c>
      <c r="G220" s="36">
        <f t="shared" ref="G220:Q220" si="128">G242</f>
        <v>730.89</v>
      </c>
      <c r="H220" s="36">
        <f t="shared" si="128"/>
        <v>0</v>
      </c>
      <c r="I220" s="36">
        <f t="shared" si="128"/>
        <v>0</v>
      </c>
      <c r="J220" s="36">
        <f t="shared" si="128"/>
        <v>1087</v>
      </c>
      <c r="K220" s="36">
        <f t="shared" si="128"/>
        <v>0</v>
      </c>
      <c r="L220" s="36">
        <f t="shared" si="128"/>
        <v>0</v>
      </c>
      <c r="M220" s="36">
        <f t="shared" si="128"/>
        <v>0</v>
      </c>
      <c r="N220" s="36">
        <f t="shared" si="128"/>
        <v>0</v>
      </c>
      <c r="O220" s="36">
        <f t="shared" si="128"/>
        <v>0</v>
      </c>
      <c r="P220" s="36">
        <f t="shared" si="128"/>
        <v>0</v>
      </c>
      <c r="Q220" s="36">
        <f t="shared" si="128"/>
        <v>0</v>
      </c>
      <c r="R220" s="37">
        <f>IFERROR(Q220/$P220,0)</f>
        <v>0</v>
      </c>
      <c r="S220" s="36">
        <f>S242</f>
        <v>0</v>
      </c>
      <c r="T220" s="37">
        <f>IFERROR(S220/$P220,0)</f>
        <v>0</v>
      </c>
      <c r="U220" s="36">
        <f>U242</f>
        <v>0</v>
      </c>
      <c r="V220" s="37">
        <f>IFERROR(U220/$P220,0)</f>
        <v>0</v>
      </c>
      <c r="W220" s="36">
        <f>W242</f>
        <v>0</v>
      </c>
      <c r="X220" s="37">
        <f>IFERROR(W220/$P220,0)</f>
        <v>0</v>
      </c>
      <c r="Y220" s="36">
        <f>Y242</f>
        <v>0</v>
      </c>
      <c r="Z220" s="36">
        <f>Z242</f>
        <v>0</v>
      </c>
    </row>
    <row r="221" spans="1:26" ht="13.9" customHeight="1" x14ac:dyDescent="0.25">
      <c r="A221" s="15">
        <v>4</v>
      </c>
      <c r="D221" s="2" t="s">
        <v>21</v>
      </c>
      <c r="E221" s="35">
        <v>41</v>
      </c>
      <c r="F221" s="35" t="s">
        <v>23</v>
      </c>
      <c r="G221" s="36">
        <f t="shared" ref="G221:Q221" si="129">G229+G235+G247</f>
        <v>81628.34</v>
      </c>
      <c r="H221" s="36">
        <f t="shared" si="129"/>
        <v>127964.09</v>
      </c>
      <c r="I221" s="36">
        <f t="shared" si="129"/>
        <v>95178</v>
      </c>
      <c r="J221" s="36">
        <f t="shared" si="129"/>
        <v>110075</v>
      </c>
      <c r="K221" s="36">
        <f t="shared" si="129"/>
        <v>110019</v>
      </c>
      <c r="L221" s="36">
        <f t="shared" si="129"/>
        <v>0</v>
      </c>
      <c r="M221" s="36">
        <f t="shared" si="129"/>
        <v>0</v>
      </c>
      <c r="N221" s="36">
        <f t="shared" si="129"/>
        <v>0</v>
      </c>
      <c r="O221" s="36">
        <f t="shared" si="129"/>
        <v>0</v>
      </c>
      <c r="P221" s="36">
        <f t="shared" si="129"/>
        <v>110019</v>
      </c>
      <c r="Q221" s="36">
        <f t="shared" si="129"/>
        <v>25863.690000000002</v>
      </c>
      <c r="R221" s="37">
        <f>IFERROR(Q221/$P221,0)</f>
        <v>0.23508384915332808</v>
      </c>
      <c r="S221" s="36">
        <f>S229+S235+S247</f>
        <v>0</v>
      </c>
      <c r="T221" s="37">
        <f>IFERROR(S221/$P221,0)</f>
        <v>0</v>
      </c>
      <c r="U221" s="36">
        <f>U229+U235+U247</f>
        <v>0</v>
      </c>
      <c r="V221" s="37">
        <f>IFERROR(U221/$P221,0)</f>
        <v>0</v>
      </c>
      <c r="W221" s="36">
        <f>W229+W235+W247</f>
        <v>0</v>
      </c>
      <c r="X221" s="37">
        <f>IFERROR(W221/$P221,0)</f>
        <v>0</v>
      </c>
      <c r="Y221" s="36">
        <f>Y229+Y235+Y247</f>
        <v>111133</v>
      </c>
      <c r="Z221" s="36">
        <f>Z229+Z235+Z247</f>
        <v>112409</v>
      </c>
    </row>
    <row r="222" spans="1:26" ht="13.9" customHeight="1" x14ac:dyDescent="0.25">
      <c r="A222" s="15">
        <v>4</v>
      </c>
      <c r="D222" s="2"/>
      <c r="E222" s="35">
        <v>72</v>
      </c>
      <c r="F222" s="35" t="s">
        <v>25</v>
      </c>
      <c r="G222" s="36">
        <f t="shared" ref="G222:Q222" si="130">G249</f>
        <v>49.7</v>
      </c>
      <c r="H222" s="36">
        <f t="shared" si="130"/>
        <v>165.53</v>
      </c>
      <c r="I222" s="36">
        <f t="shared" si="130"/>
        <v>179</v>
      </c>
      <c r="J222" s="36">
        <f t="shared" si="130"/>
        <v>194</v>
      </c>
      <c r="K222" s="36">
        <f t="shared" si="130"/>
        <v>172</v>
      </c>
      <c r="L222" s="36">
        <f t="shared" si="130"/>
        <v>0</v>
      </c>
      <c r="M222" s="36">
        <f t="shared" si="130"/>
        <v>0</v>
      </c>
      <c r="N222" s="36">
        <f t="shared" si="130"/>
        <v>0</v>
      </c>
      <c r="O222" s="36">
        <f t="shared" si="130"/>
        <v>0</v>
      </c>
      <c r="P222" s="36">
        <f t="shared" si="130"/>
        <v>172</v>
      </c>
      <c r="Q222" s="36">
        <f t="shared" si="130"/>
        <v>0</v>
      </c>
      <c r="R222" s="37">
        <f>IFERROR(Q222/$P222,0)</f>
        <v>0</v>
      </c>
      <c r="S222" s="36">
        <f>S249</f>
        <v>0</v>
      </c>
      <c r="T222" s="37">
        <f>IFERROR(S222/$P222,0)</f>
        <v>0</v>
      </c>
      <c r="U222" s="36">
        <f>U249</f>
        <v>0</v>
      </c>
      <c r="V222" s="37">
        <f>IFERROR(U222/$P222,0)</f>
        <v>0</v>
      </c>
      <c r="W222" s="36">
        <f>W249</f>
        <v>0</v>
      </c>
      <c r="X222" s="37">
        <f>IFERROR(W222/$P222,0)</f>
        <v>0</v>
      </c>
      <c r="Y222" s="36">
        <f>Y249</f>
        <v>172</v>
      </c>
      <c r="Z222" s="36">
        <f>Z249</f>
        <v>172</v>
      </c>
    </row>
    <row r="223" spans="1:26" ht="13.9" customHeight="1" x14ac:dyDescent="0.25">
      <c r="A223" s="15">
        <v>4</v>
      </c>
      <c r="D223" s="30"/>
      <c r="E223" s="31"/>
      <c r="F223" s="38" t="s">
        <v>122</v>
      </c>
      <c r="G223" s="39">
        <f t="shared" ref="G223:Q223" si="131">SUM(G220:G222)</f>
        <v>82408.929999999993</v>
      </c>
      <c r="H223" s="39">
        <f t="shared" si="131"/>
        <v>128129.62</v>
      </c>
      <c r="I223" s="39">
        <f t="shared" si="131"/>
        <v>95357</v>
      </c>
      <c r="J223" s="39">
        <f t="shared" si="131"/>
        <v>111356</v>
      </c>
      <c r="K223" s="39">
        <f t="shared" si="131"/>
        <v>110191</v>
      </c>
      <c r="L223" s="39">
        <f t="shared" si="131"/>
        <v>0</v>
      </c>
      <c r="M223" s="39">
        <f t="shared" si="131"/>
        <v>0</v>
      </c>
      <c r="N223" s="39">
        <f t="shared" si="131"/>
        <v>0</v>
      </c>
      <c r="O223" s="39">
        <f t="shared" si="131"/>
        <v>0</v>
      </c>
      <c r="P223" s="39">
        <f t="shared" si="131"/>
        <v>110191</v>
      </c>
      <c r="Q223" s="39">
        <f t="shared" si="131"/>
        <v>25863.690000000002</v>
      </c>
      <c r="R223" s="40">
        <f>IFERROR(Q223/$P223,0)</f>
        <v>0.23471690065431844</v>
      </c>
      <c r="S223" s="39">
        <f>SUM(S220:S222)</f>
        <v>0</v>
      </c>
      <c r="T223" s="40">
        <f>IFERROR(S223/$P223,0)</f>
        <v>0</v>
      </c>
      <c r="U223" s="39">
        <f>SUM(U220:U222)</f>
        <v>0</v>
      </c>
      <c r="V223" s="40">
        <f>IFERROR(U223/$P223,0)</f>
        <v>0</v>
      </c>
      <c r="W223" s="39">
        <f>SUM(W220:W222)</f>
        <v>0</v>
      </c>
      <c r="X223" s="40">
        <f>IFERROR(W223/$P223,0)</f>
        <v>0</v>
      </c>
      <c r="Y223" s="39">
        <f>SUM(Y220:Y222)</f>
        <v>111305</v>
      </c>
      <c r="Z223" s="39">
        <f>SUM(Z220:Z222)</f>
        <v>112581</v>
      </c>
    </row>
    <row r="225" spans="1:26" ht="13.9" customHeight="1" x14ac:dyDescent="0.25">
      <c r="D225" s="72" t="s">
        <v>186</v>
      </c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3"/>
      <c r="S225" s="72"/>
      <c r="T225" s="73"/>
      <c r="U225" s="72"/>
      <c r="V225" s="73"/>
      <c r="W225" s="72"/>
      <c r="X225" s="73"/>
      <c r="Y225" s="72"/>
      <c r="Z225" s="72"/>
    </row>
    <row r="226" spans="1:26" ht="13.9" customHeight="1" x14ac:dyDescent="0.25">
      <c r="D226" s="21" t="s">
        <v>32</v>
      </c>
      <c r="E226" s="21" t="s">
        <v>33</v>
      </c>
      <c r="F226" s="21" t="s">
        <v>34</v>
      </c>
      <c r="G226" s="21" t="s">
        <v>1</v>
      </c>
      <c r="H226" s="21" t="s">
        <v>2</v>
      </c>
      <c r="I226" s="21" t="s">
        <v>3</v>
      </c>
      <c r="J226" s="21" t="s">
        <v>4</v>
      </c>
      <c r="K226" s="21" t="s">
        <v>5</v>
      </c>
      <c r="L226" s="21" t="s">
        <v>6</v>
      </c>
      <c r="M226" s="21" t="s">
        <v>7</v>
      </c>
      <c r="N226" s="21" t="s">
        <v>8</v>
      </c>
      <c r="O226" s="21" t="s">
        <v>9</v>
      </c>
      <c r="P226" s="21" t="s">
        <v>10</v>
      </c>
      <c r="Q226" s="21" t="s">
        <v>11</v>
      </c>
      <c r="R226" s="22" t="s">
        <v>12</v>
      </c>
      <c r="S226" s="21" t="s">
        <v>13</v>
      </c>
      <c r="T226" s="22" t="s">
        <v>14</v>
      </c>
      <c r="U226" s="21" t="s">
        <v>15</v>
      </c>
      <c r="V226" s="22" t="s">
        <v>16</v>
      </c>
      <c r="W226" s="21" t="s">
        <v>17</v>
      </c>
      <c r="X226" s="22" t="s">
        <v>18</v>
      </c>
      <c r="Y226" s="21" t="s">
        <v>19</v>
      </c>
      <c r="Z226" s="21" t="s">
        <v>20</v>
      </c>
    </row>
    <row r="227" spans="1:26" ht="13.9" customHeight="1" x14ac:dyDescent="0.25">
      <c r="A227" s="15">
        <v>4</v>
      </c>
      <c r="B227" s="15">
        <v>1</v>
      </c>
      <c r="D227" s="84" t="s">
        <v>187</v>
      </c>
      <c r="E227" s="24">
        <v>630</v>
      </c>
      <c r="F227" s="24" t="s">
        <v>129</v>
      </c>
      <c r="G227" s="45">
        <v>62161.06</v>
      </c>
      <c r="H227" s="45">
        <v>64617.45</v>
      </c>
      <c r="I227" s="45">
        <v>65200</v>
      </c>
      <c r="J227" s="45">
        <v>75391</v>
      </c>
      <c r="K227" s="45">
        <v>74100</v>
      </c>
      <c r="L227" s="45"/>
      <c r="M227" s="45"/>
      <c r="N227" s="45"/>
      <c r="O227" s="45"/>
      <c r="P227" s="45">
        <f>K227+SUM(L227:O227)</f>
        <v>74100</v>
      </c>
      <c r="Q227" s="45">
        <v>18233.740000000002</v>
      </c>
      <c r="R227" s="46">
        <f>IFERROR(Q227/$P227,0)</f>
        <v>0.24606936572199734</v>
      </c>
      <c r="S227" s="45"/>
      <c r="T227" s="46">
        <f>IFERROR(S227/$P227,0)</f>
        <v>0</v>
      </c>
      <c r="U227" s="45"/>
      <c r="V227" s="46">
        <f>IFERROR(U227/$P227,0)</f>
        <v>0</v>
      </c>
      <c r="W227" s="45"/>
      <c r="X227" s="46">
        <f>IFERROR(W227/$P227,0)</f>
        <v>0</v>
      </c>
      <c r="Y227" s="25">
        <f>K227</f>
        <v>74100</v>
      </c>
      <c r="Z227" s="25">
        <f>Y227</f>
        <v>74100</v>
      </c>
    </row>
    <row r="228" spans="1:26" ht="13.9" customHeight="1" x14ac:dyDescent="0.25">
      <c r="A228" s="15">
        <v>4</v>
      </c>
      <c r="B228" s="15">
        <v>1</v>
      </c>
      <c r="D228" s="79" t="s">
        <v>21</v>
      </c>
      <c r="E228" s="47">
        <v>41</v>
      </c>
      <c r="F228" s="47" t="s">
        <v>23</v>
      </c>
      <c r="G228" s="48">
        <f t="shared" ref="G228:Q228" si="132">SUM(G227)</f>
        <v>62161.06</v>
      </c>
      <c r="H228" s="48">
        <f t="shared" si="132"/>
        <v>64617.45</v>
      </c>
      <c r="I228" s="48">
        <f t="shared" si="132"/>
        <v>65200</v>
      </c>
      <c r="J228" s="48">
        <f t="shared" si="132"/>
        <v>75391</v>
      </c>
      <c r="K228" s="48">
        <f t="shared" si="132"/>
        <v>74100</v>
      </c>
      <c r="L228" s="48">
        <f t="shared" si="132"/>
        <v>0</v>
      </c>
      <c r="M228" s="48">
        <f t="shared" si="132"/>
        <v>0</v>
      </c>
      <c r="N228" s="48">
        <f t="shared" si="132"/>
        <v>0</v>
      </c>
      <c r="O228" s="48">
        <f t="shared" si="132"/>
        <v>0</v>
      </c>
      <c r="P228" s="48">
        <f t="shared" si="132"/>
        <v>74100</v>
      </c>
      <c r="Q228" s="48">
        <f t="shared" si="132"/>
        <v>18233.740000000002</v>
      </c>
      <c r="R228" s="49">
        <f>IFERROR(Q228/$P228,0)</f>
        <v>0.24606936572199734</v>
      </c>
      <c r="S228" s="48">
        <f>SUM(S227)</f>
        <v>0</v>
      </c>
      <c r="T228" s="49">
        <f>IFERROR(S228/$P228,0)</f>
        <v>0</v>
      </c>
      <c r="U228" s="48">
        <f>SUM(U227)</f>
        <v>0</v>
      </c>
      <c r="V228" s="49">
        <f>IFERROR(U228/$P228,0)</f>
        <v>0</v>
      </c>
      <c r="W228" s="48">
        <f>SUM(W227)</f>
        <v>0</v>
      </c>
      <c r="X228" s="49">
        <f>IFERROR(W228/$P228,0)</f>
        <v>0</v>
      </c>
      <c r="Y228" s="48">
        <f>SUM(Y227)</f>
        <v>74100</v>
      </c>
      <c r="Z228" s="48">
        <f>SUM(Z227)</f>
        <v>74100</v>
      </c>
    </row>
    <row r="229" spans="1:26" ht="13.9" customHeight="1" x14ac:dyDescent="0.25">
      <c r="A229" s="15">
        <v>4</v>
      </c>
      <c r="B229" s="15">
        <v>1</v>
      </c>
      <c r="D229" s="86"/>
      <c r="E229" s="87"/>
      <c r="F229" s="27" t="s">
        <v>122</v>
      </c>
      <c r="G229" s="28">
        <f t="shared" ref="G229:Q229" si="133">G228</f>
        <v>62161.06</v>
      </c>
      <c r="H229" s="28">
        <f t="shared" si="133"/>
        <v>64617.45</v>
      </c>
      <c r="I229" s="28">
        <f t="shared" si="133"/>
        <v>65200</v>
      </c>
      <c r="J229" s="28">
        <f t="shared" si="133"/>
        <v>75391</v>
      </c>
      <c r="K229" s="28">
        <f t="shared" si="133"/>
        <v>74100</v>
      </c>
      <c r="L229" s="28">
        <f t="shared" si="133"/>
        <v>0</v>
      </c>
      <c r="M229" s="28">
        <f t="shared" si="133"/>
        <v>0</v>
      </c>
      <c r="N229" s="28">
        <f t="shared" si="133"/>
        <v>0</v>
      </c>
      <c r="O229" s="28">
        <f t="shared" si="133"/>
        <v>0</v>
      </c>
      <c r="P229" s="28">
        <f t="shared" si="133"/>
        <v>74100</v>
      </c>
      <c r="Q229" s="28">
        <f t="shared" si="133"/>
        <v>18233.740000000002</v>
      </c>
      <c r="R229" s="29">
        <f>IFERROR(Q229/$P229,0)</f>
        <v>0.24606936572199734</v>
      </c>
      <c r="S229" s="28">
        <f>S228</f>
        <v>0</v>
      </c>
      <c r="T229" s="29">
        <f>IFERROR(S229/$P229,0)</f>
        <v>0</v>
      </c>
      <c r="U229" s="28">
        <f>U228</f>
        <v>0</v>
      </c>
      <c r="V229" s="29">
        <f>IFERROR(U229/$P229,0)</f>
        <v>0</v>
      </c>
      <c r="W229" s="28">
        <f>W228</f>
        <v>0</v>
      </c>
      <c r="X229" s="29">
        <f>IFERROR(W229/$P229,0)</f>
        <v>0</v>
      </c>
      <c r="Y229" s="28">
        <f>Y228</f>
        <v>74100</v>
      </c>
      <c r="Z229" s="28">
        <f>Z228</f>
        <v>74100</v>
      </c>
    </row>
    <row r="231" spans="1:26" ht="13.9" customHeight="1" x14ac:dyDescent="0.25">
      <c r="D231" s="72" t="s">
        <v>188</v>
      </c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3"/>
      <c r="S231" s="72"/>
      <c r="T231" s="73"/>
      <c r="U231" s="72"/>
      <c r="V231" s="73"/>
      <c r="W231" s="72"/>
      <c r="X231" s="73"/>
      <c r="Y231" s="72"/>
      <c r="Z231" s="72"/>
    </row>
    <row r="232" spans="1:26" ht="13.9" customHeight="1" x14ac:dyDescent="0.25">
      <c r="D232" s="21" t="s">
        <v>32</v>
      </c>
      <c r="E232" s="21" t="s">
        <v>33</v>
      </c>
      <c r="F232" s="21" t="s">
        <v>34</v>
      </c>
      <c r="G232" s="21" t="s">
        <v>1</v>
      </c>
      <c r="H232" s="21" t="s">
        <v>2</v>
      </c>
      <c r="I232" s="21" t="s">
        <v>3</v>
      </c>
      <c r="J232" s="21" t="s">
        <v>4</v>
      </c>
      <c r="K232" s="21" t="s">
        <v>5</v>
      </c>
      <c r="L232" s="21" t="s">
        <v>6</v>
      </c>
      <c r="M232" s="21" t="s">
        <v>7</v>
      </c>
      <c r="N232" s="21" t="s">
        <v>8</v>
      </c>
      <c r="O232" s="21" t="s">
        <v>9</v>
      </c>
      <c r="P232" s="21" t="s">
        <v>10</v>
      </c>
      <c r="Q232" s="21" t="s">
        <v>11</v>
      </c>
      <c r="R232" s="22" t="s">
        <v>12</v>
      </c>
      <c r="S232" s="21" t="s">
        <v>13</v>
      </c>
      <c r="T232" s="22" t="s">
        <v>14</v>
      </c>
      <c r="U232" s="21" t="s">
        <v>15</v>
      </c>
      <c r="V232" s="22" t="s">
        <v>16</v>
      </c>
      <c r="W232" s="21" t="s">
        <v>17</v>
      </c>
      <c r="X232" s="22" t="s">
        <v>18</v>
      </c>
      <c r="Y232" s="21" t="s">
        <v>19</v>
      </c>
      <c r="Z232" s="21" t="s">
        <v>20</v>
      </c>
    </row>
    <row r="233" spans="1:26" ht="13.9" customHeight="1" x14ac:dyDescent="0.25">
      <c r="A233" s="15">
        <v>4</v>
      </c>
      <c r="B233" s="15">
        <v>2</v>
      </c>
      <c r="D233" s="84" t="s">
        <v>187</v>
      </c>
      <c r="E233" s="24">
        <v>630</v>
      </c>
      <c r="F233" s="24" t="s">
        <v>129</v>
      </c>
      <c r="G233" s="25">
        <v>878.28</v>
      </c>
      <c r="H233" s="25">
        <v>2328.2800000000002</v>
      </c>
      <c r="I233" s="25">
        <v>728</v>
      </c>
      <c r="J233" s="25">
        <v>1716</v>
      </c>
      <c r="K233" s="25">
        <v>1218</v>
      </c>
      <c r="L233" s="25"/>
      <c r="M233" s="25"/>
      <c r="N233" s="25"/>
      <c r="O233" s="25"/>
      <c r="P233" s="25">
        <f>K233+SUM(L233:O233)</f>
        <v>1218</v>
      </c>
      <c r="Q233" s="25">
        <v>0</v>
      </c>
      <c r="R233" s="26">
        <f>IFERROR(Q233/$P233,0)</f>
        <v>0</v>
      </c>
      <c r="S233" s="25"/>
      <c r="T233" s="26">
        <f>IFERROR(S233/$P233,0)</f>
        <v>0</v>
      </c>
      <c r="U233" s="25"/>
      <c r="V233" s="26">
        <f>IFERROR(U233/$P233,0)</f>
        <v>0</v>
      </c>
      <c r="W233" s="25"/>
      <c r="X233" s="26">
        <f>IFERROR(W233/$P233,0)</f>
        <v>0</v>
      </c>
      <c r="Y233" s="25">
        <f>K233</f>
        <v>1218</v>
      </c>
      <c r="Z233" s="25">
        <f>Y233</f>
        <v>1218</v>
      </c>
    </row>
    <row r="234" spans="1:26" ht="13.9" customHeight="1" x14ac:dyDescent="0.25">
      <c r="A234" s="15">
        <v>4</v>
      </c>
      <c r="B234" s="15">
        <v>2</v>
      </c>
      <c r="D234" s="79" t="s">
        <v>21</v>
      </c>
      <c r="E234" s="47">
        <v>41</v>
      </c>
      <c r="F234" s="47" t="s">
        <v>23</v>
      </c>
      <c r="G234" s="48">
        <f t="shared" ref="G234:Q234" si="134">SUM(G233)</f>
        <v>878.28</v>
      </c>
      <c r="H234" s="48">
        <f t="shared" si="134"/>
        <v>2328.2800000000002</v>
      </c>
      <c r="I234" s="48">
        <f t="shared" si="134"/>
        <v>728</v>
      </c>
      <c r="J234" s="48">
        <f t="shared" si="134"/>
        <v>1716</v>
      </c>
      <c r="K234" s="48">
        <f t="shared" si="134"/>
        <v>1218</v>
      </c>
      <c r="L234" s="48">
        <f t="shared" si="134"/>
        <v>0</v>
      </c>
      <c r="M234" s="48">
        <f t="shared" si="134"/>
        <v>0</v>
      </c>
      <c r="N234" s="48">
        <f t="shared" si="134"/>
        <v>0</v>
      </c>
      <c r="O234" s="48">
        <f t="shared" si="134"/>
        <v>0</v>
      </c>
      <c r="P234" s="48">
        <f t="shared" si="134"/>
        <v>1218</v>
      </c>
      <c r="Q234" s="48">
        <f t="shared" si="134"/>
        <v>0</v>
      </c>
      <c r="R234" s="49">
        <f>IFERROR(Q234/$P234,0)</f>
        <v>0</v>
      </c>
      <c r="S234" s="48">
        <f>SUM(S233)</f>
        <v>0</v>
      </c>
      <c r="T234" s="49">
        <f>IFERROR(S234/$P234,0)</f>
        <v>0</v>
      </c>
      <c r="U234" s="48">
        <f>SUM(U233)</f>
        <v>0</v>
      </c>
      <c r="V234" s="49">
        <f>IFERROR(U234/$P234,0)</f>
        <v>0</v>
      </c>
      <c r="W234" s="48">
        <f>SUM(W233)</f>
        <v>0</v>
      </c>
      <c r="X234" s="49">
        <f>IFERROR(W234/$P234,0)</f>
        <v>0</v>
      </c>
      <c r="Y234" s="48">
        <f>SUM(Y233)</f>
        <v>1218</v>
      </c>
      <c r="Z234" s="48">
        <f>SUM(Z233)</f>
        <v>1218</v>
      </c>
    </row>
    <row r="235" spans="1:26" ht="13.9" customHeight="1" x14ac:dyDescent="0.25">
      <c r="A235" s="15">
        <v>4</v>
      </c>
      <c r="B235" s="15">
        <v>2</v>
      </c>
      <c r="D235" s="86"/>
      <c r="E235" s="87"/>
      <c r="F235" s="27" t="s">
        <v>122</v>
      </c>
      <c r="G235" s="28">
        <f t="shared" ref="G235:Q235" si="135">G231+G234</f>
        <v>878.28</v>
      </c>
      <c r="H235" s="28">
        <f t="shared" si="135"/>
        <v>2328.2800000000002</v>
      </c>
      <c r="I235" s="28">
        <f t="shared" si="135"/>
        <v>728</v>
      </c>
      <c r="J235" s="28">
        <f t="shared" si="135"/>
        <v>1716</v>
      </c>
      <c r="K235" s="28">
        <f t="shared" si="135"/>
        <v>1218</v>
      </c>
      <c r="L235" s="28">
        <f t="shared" si="135"/>
        <v>0</v>
      </c>
      <c r="M235" s="28">
        <f t="shared" si="135"/>
        <v>0</v>
      </c>
      <c r="N235" s="28">
        <f t="shared" si="135"/>
        <v>0</v>
      </c>
      <c r="O235" s="28">
        <f t="shared" si="135"/>
        <v>0</v>
      </c>
      <c r="P235" s="28">
        <f t="shared" si="135"/>
        <v>1218</v>
      </c>
      <c r="Q235" s="28">
        <f t="shared" si="135"/>
        <v>0</v>
      </c>
      <c r="R235" s="29">
        <f>IFERROR(Q235/$P235,0)</f>
        <v>0</v>
      </c>
      <c r="S235" s="28">
        <f>S231+S234</f>
        <v>0</v>
      </c>
      <c r="T235" s="29">
        <f>IFERROR(S235/$P235,0)</f>
        <v>0</v>
      </c>
      <c r="U235" s="28">
        <f>U231+U234</f>
        <v>0</v>
      </c>
      <c r="V235" s="29">
        <f>IFERROR(U235/$P235,0)</f>
        <v>0</v>
      </c>
      <c r="W235" s="28">
        <f>W231+W234</f>
        <v>0</v>
      </c>
      <c r="X235" s="29">
        <f>IFERROR(W235/$P235,0)</f>
        <v>0</v>
      </c>
      <c r="Y235" s="28">
        <f>Y231+Y234</f>
        <v>1218</v>
      </c>
      <c r="Z235" s="28">
        <f>Z231+Z234</f>
        <v>1218</v>
      </c>
    </row>
    <row r="237" spans="1:26" ht="13.9" customHeight="1" x14ac:dyDescent="0.25">
      <c r="D237" s="72" t="s">
        <v>189</v>
      </c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3"/>
      <c r="S237" s="72"/>
      <c r="T237" s="73"/>
      <c r="U237" s="72"/>
      <c r="V237" s="73"/>
      <c r="W237" s="72"/>
      <c r="X237" s="73"/>
      <c r="Y237" s="72"/>
      <c r="Z237" s="72"/>
    </row>
    <row r="238" spans="1:26" ht="13.9" customHeight="1" x14ac:dyDescent="0.25">
      <c r="D238" s="21" t="s">
        <v>32</v>
      </c>
      <c r="E238" s="21" t="s">
        <v>33</v>
      </c>
      <c r="F238" s="21" t="s">
        <v>34</v>
      </c>
      <c r="G238" s="21" t="s">
        <v>1</v>
      </c>
      <c r="H238" s="21" t="s">
        <v>2</v>
      </c>
      <c r="I238" s="21" t="s">
        <v>3</v>
      </c>
      <c r="J238" s="21" t="s">
        <v>4</v>
      </c>
      <c r="K238" s="21" t="s">
        <v>5</v>
      </c>
      <c r="L238" s="21" t="s">
        <v>6</v>
      </c>
      <c r="M238" s="21" t="s">
        <v>7</v>
      </c>
      <c r="N238" s="21" t="s">
        <v>8</v>
      </c>
      <c r="O238" s="21" t="s">
        <v>9</v>
      </c>
      <c r="P238" s="21" t="s">
        <v>10</v>
      </c>
      <c r="Q238" s="21" t="s">
        <v>11</v>
      </c>
      <c r="R238" s="22" t="s">
        <v>12</v>
      </c>
      <c r="S238" s="21" t="s">
        <v>13</v>
      </c>
      <c r="T238" s="22" t="s">
        <v>14</v>
      </c>
      <c r="U238" s="21" t="s">
        <v>15</v>
      </c>
      <c r="V238" s="22" t="s">
        <v>16</v>
      </c>
      <c r="W238" s="21" t="s">
        <v>17</v>
      </c>
      <c r="X238" s="22" t="s">
        <v>18</v>
      </c>
      <c r="Y238" s="21" t="s">
        <v>19</v>
      </c>
      <c r="Z238" s="21" t="s">
        <v>20</v>
      </c>
    </row>
    <row r="239" spans="1:26" ht="13.9" hidden="1" customHeight="1" x14ac:dyDescent="0.25">
      <c r="A239" s="15">
        <v>4</v>
      </c>
      <c r="B239" s="15">
        <v>3</v>
      </c>
      <c r="D239" s="10" t="s">
        <v>187</v>
      </c>
      <c r="E239" s="24">
        <v>610</v>
      </c>
      <c r="F239" s="24" t="s">
        <v>127</v>
      </c>
      <c r="G239" s="45">
        <v>0</v>
      </c>
      <c r="H239" s="45">
        <v>0</v>
      </c>
      <c r="I239" s="25">
        <v>0</v>
      </c>
      <c r="J239" s="25">
        <v>800</v>
      </c>
      <c r="K239" s="25">
        <v>0</v>
      </c>
      <c r="L239" s="25"/>
      <c r="M239" s="25"/>
      <c r="N239" s="25"/>
      <c r="O239" s="25"/>
      <c r="P239" s="45">
        <f>K239+SUM(L239:O239)</f>
        <v>0</v>
      </c>
      <c r="Q239" s="45"/>
      <c r="R239" s="46">
        <f t="shared" ref="R239:R250" si="136">IFERROR(Q239/$P239,0)</f>
        <v>0</v>
      </c>
      <c r="S239" s="45"/>
      <c r="T239" s="46">
        <f t="shared" ref="T239:T250" si="137">IFERROR(S239/$P239,0)</f>
        <v>0</v>
      </c>
      <c r="U239" s="45"/>
      <c r="V239" s="46">
        <f t="shared" ref="V239:V250" si="138">IFERROR(U239/$P239,0)</f>
        <v>0</v>
      </c>
      <c r="W239" s="45"/>
      <c r="X239" s="46">
        <f t="shared" ref="X239:X250" si="139">IFERROR(W239/$P239,0)</f>
        <v>0</v>
      </c>
      <c r="Y239" s="25">
        <v>0</v>
      </c>
      <c r="Z239" s="25">
        <v>0</v>
      </c>
    </row>
    <row r="240" spans="1:26" ht="13.9" hidden="1" customHeight="1" x14ac:dyDescent="0.25">
      <c r="A240" s="15">
        <v>4</v>
      </c>
      <c r="B240" s="15">
        <v>3</v>
      </c>
      <c r="D240" s="10"/>
      <c r="E240" s="24">
        <v>620</v>
      </c>
      <c r="F240" s="24" t="s">
        <v>128</v>
      </c>
      <c r="G240" s="45">
        <v>0</v>
      </c>
      <c r="H240" s="45">
        <v>0</v>
      </c>
      <c r="I240" s="25">
        <v>0</v>
      </c>
      <c r="J240" s="25">
        <v>287</v>
      </c>
      <c r="K240" s="25">
        <v>0</v>
      </c>
      <c r="L240" s="25"/>
      <c r="M240" s="25"/>
      <c r="N240" s="25"/>
      <c r="O240" s="25"/>
      <c r="P240" s="45">
        <f>K240+SUM(L240:O240)</f>
        <v>0</v>
      </c>
      <c r="Q240" s="45"/>
      <c r="R240" s="46">
        <f t="shared" si="136"/>
        <v>0</v>
      </c>
      <c r="S240" s="45"/>
      <c r="T240" s="46">
        <f t="shared" si="137"/>
        <v>0</v>
      </c>
      <c r="U240" s="45"/>
      <c r="V240" s="46">
        <f t="shared" si="138"/>
        <v>0</v>
      </c>
      <c r="W240" s="45"/>
      <c r="X240" s="46">
        <f t="shared" si="139"/>
        <v>0</v>
      </c>
      <c r="Y240" s="25">
        <v>0</v>
      </c>
      <c r="Z240" s="25">
        <v>0</v>
      </c>
    </row>
    <row r="241" spans="1:26" ht="13.9" hidden="1" customHeight="1" x14ac:dyDescent="0.25">
      <c r="A241" s="15">
        <v>4</v>
      </c>
      <c r="B241" s="15">
        <v>3</v>
      </c>
      <c r="D241" s="10"/>
      <c r="E241" s="24">
        <v>630</v>
      </c>
      <c r="F241" s="24" t="s">
        <v>129</v>
      </c>
      <c r="G241" s="45">
        <v>730.89</v>
      </c>
      <c r="H241" s="45">
        <v>0</v>
      </c>
      <c r="I241" s="25">
        <v>0</v>
      </c>
      <c r="J241" s="25">
        <v>0</v>
      </c>
      <c r="K241" s="25">
        <v>0</v>
      </c>
      <c r="L241" s="25"/>
      <c r="M241" s="25"/>
      <c r="N241" s="25"/>
      <c r="O241" s="25"/>
      <c r="P241" s="45">
        <f>K241+SUM(L241:O241)</f>
        <v>0</v>
      </c>
      <c r="Q241" s="45"/>
      <c r="R241" s="46">
        <f t="shared" si="136"/>
        <v>0</v>
      </c>
      <c r="S241" s="45"/>
      <c r="T241" s="46">
        <f t="shared" si="137"/>
        <v>0</v>
      </c>
      <c r="U241" s="45"/>
      <c r="V241" s="46">
        <f t="shared" si="138"/>
        <v>0</v>
      </c>
      <c r="W241" s="45"/>
      <c r="X241" s="46">
        <f t="shared" si="139"/>
        <v>0</v>
      </c>
      <c r="Y241" s="25">
        <v>0</v>
      </c>
      <c r="Z241" s="25">
        <v>0</v>
      </c>
    </row>
    <row r="242" spans="1:26" ht="13.9" hidden="1" customHeight="1" x14ac:dyDescent="0.25">
      <c r="A242" s="15">
        <v>4</v>
      </c>
      <c r="B242" s="15">
        <v>3</v>
      </c>
      <c r="D242" s="79" t="s">
        <v>21</v>
      </c>
      <c r="E242" s="47">
        <v>111</v>
      </c>
      <c r="F242" s="47" t="s">
        <v>23</v>
      </c>
      <c r="G242" s="48">
        <f t="shared" ref="G242:Q242" si="140">SUM(G239:G241)</f>
        <v>730.89</v>
      </c>
      <c r="H242" s="48">
        <f t="shared" si="140"/>
        <v>0</v>
      </c>
      <c r="I242" s="48">
        <f t="shared" si="140"/>
        <v>0</v>
      </c>
      <c r="J242" s="48">
        <f t="shared" si="140"/>
        <v>1087</v>
      </c>
      <c r="K242" s="48">
        <f t="shared" si="140"/>
        <v>0</v>
      </c>
      <c r="L242" s="48">
        <f t="shared" si="140"/>
        <v>0</v>
      </c>
      <c r="M242" s="48">
        <f t="shared" si="140"/>
        <v>0</v>
      </c>
      <c r="N242" s="48">
        <f t="shared" si="140"/>
        <v>0</v>
      </c>
      <c r="O242" s="48">
        <f t="shared" si="140"/>
        <v>0</v>
      </c>
      <c r="P242" s="48">
        <f t="shared" si="140"/>
        <v>0</v>
      </c>
      <c r="Q242" s="48">
        <f t="shared" si="140"/>
        <v>0</v>
      </c>
      <c r="R242" s="49">
        <f t="shared" si="136"/>
        <v>0</v>
      </c>
      <c r="S242" s="48">
        <f>SUM(S239:S241)</f>
        <v>0</v>
      </c>
      <c r="T242" s="49">
        <f t="shared" si="137"/>
        <v>0</v>
      </c>
      <c r="U242" s="48">
        <f>SUM(U239:U241)</f>
        <v>0</v>
      </c>
      <c r="V242" s="49">
        <f t="shared" si="138"/>
        <v>0</v>
      </c>
      <c r="W242" s="48">
        <f>SUM(W239:W241)</f>
        <v>0</v>
      </c>
      <c r="X242" s="49">
        <f t="shared" si="139"/>
        <v>0</v>
      </c>
      <c r="Y242" s="48">
        <f>SUM(Y239:Y241)</f>
        <v>0</v>
      </c>
      <c r="Z242" s="48">
        <f>SUM(Z239:Z241)</f>
        <v>0</v>
      </c>
    </row>
    <row r="243" spans="1:26" ht="13.9" customHeight="1" x14ac:dyDescent="0.25">
      <c r="A243" s="15">
        <v>4</v>
      </c>
      <c r="B243" s="15">
        <v>3</v>
      </c>
      <c r="D243" s="10" t="s">
        <v>187</v>
      </c>
      <c r="E243" s="24">
        <v>610</v>
      </c>
      <c r="F243" s="24" t="s">
        <v>127</v>
      </c>
      <c r="G243" s="25">
        <v>2523.81</v>
      </c>
      <c r="H243" s="25">
        <v>13358.18</v>
      </c>
      <c r="I243" s="25">
        <v>12926</v>
      </c>
      <c r="J243" s="25">
        <v>14337</v>
      </c>
      <c r="K243" s="25">
        <v>16614</v>
      </c>
      <c r="L243" s="25"/>
      <c r="M243" s="25"/>
      <c r="N243" s="25"/>
      <c r="O243" s="25"/>
      <c r="P243" s="25">
        <f>K243+SUM(L243:O243)</f>
        <v>16614</v>
      </c>
      <c r="Q243" s="25">
        <v>4949.9799999999996</v>
      </c>
      <c r="R243" s="26">
        <f t="shared" si="136"/>
        <v>0.29794029132057298</v>
      </c>
      <c r="S243" s="25"/>
      <c r="T243" s="26">
        <f t="shared" si="137"/>
        <v>0</v>
      </c>
      <c r="U243" s="25"/>
      <c r="V243" s="26">
        <f t="shared" si="138"/>
        <v>0</v>
      </c>
      <c r="W243" s="25"/>
      <c r="X243" s="26">
        <f t="shared" si="139"/>
        <v>0</v>
      </c>
      <c r="Y243" s="25">
        <v>17424</v>
      </c>
      <c r="Z243" s="25">
        <v>18277</v>
      </c>
    </row>
    <row r="244" spans="1:26" ht="13.9" customHeight="1" x14ac:dyDescent="0.25">
      <c r="A244" s="15">
        <v>4</v>
      </c>
      <c r="B244" s="15">
        <v>3</v>
      </c>
      <c r="D244" s="10"/>
      <c r="E244" s="24">
        <v>620</v>
      </c>
      <c r="F244" s="24" t="s">
        <v>128</v>
      </c>
      <c r="G244" s="25">
        <v>1172.2</v>
      </c>
      <c r="H244" s="25">
        <v>4786.88</v>
      </c>
      <c r="I244" s="25">
        <v>3538</v>
      </c>
      <c r="J244" s="25">
        <v>5154</v>
      </c>
      <c r="K244" s="25">
        <v>4416</v>
      </c>
      <c r="L244" s="25"/>
      <c r="M244" s="25"/>
      <c r="N244" s="25"/>
      <c r="O244" s="25"/>
      <c r="P244" s="25">
        <f>K244+SUM(L244:O244)</f>
        <v>4416</v>
      </c>
      <c r="Q244" s="25">
        <v>1779.41</v>
      </c>
      <c r="R244" s="26">
        <f t="shared" si="136"/>
        <v>0.40294610507246381</v>
      </c>
      <c r="S244" s="25"/>
      <c r="T244" s="26">
        <f t="shared" si="137"/>
        <v>0</v>
      </c>
      <c r="U244" s="25"/>
      <c r="V244" s="26">
        <f t="shared" si="138"/>
        <v>0</v>
      </c>
      <c r="W244" s="25"/>
      <c r="X244" s="26">
        <f t="shared" si="139"/>
        <v>0</v>
      </c>
      <c r="Y244" s="25">
        <v>4631</v>
      </c>
      <c r="Z244" s="25">
        <v>4856</v>
      </c>
    </row>
    <row r="245" spans="1:26" ht="13.9" customHeight="1" x14ac:dyDescent="0.25">
      <c r="A245" s="15">
        <v>4</v>
      </c>
      <c r="B245" s="15">
        <v>3</v>
      </c>
      <c r="D245" s="10"/>
      <c r="E245" s="24">
        <v>630</v>
      </c>
      <c r="F245" s="24" t="s">
        <v>129</v>
      </c>
      <c r="G245" s="25">
        <v>14892.99</v>
      </c>
      <c r="H245" s="25">
        <v>42873.3</v>
      </c>
      <c r="I245" s="25">
        <v>12786</v>
      </c>
      <c r="J245" s="25">
        <v>13477</v>
      </c>
      <c r="K245" s="25">
        <f>1626+12045</f>
        <v>13671</v>
      </c>
      <c r="L245" s="25"/>
      <c r="M245" s="25"/>
      <c r="N245" s="25"/>
      <c r="O245" s="25"/>
      <c r="P245" s="25">
        <f>K245+SUM(L245:O245)</f>
        <v>13671</v>
      </c>
      <c r="Q245" s="25">
        <v>900.56</v>
      </c>
      <c r="R245" s="26">
        <f t="shared" si="136"/>
        <v>6.5873747348401721E-2</v>
      </c>
      <c r="S245" s="25"/>
      <c r="T245" s="26">
        <f t="shared" si="137"/>
        <v>0</v>
      </c>
      <c r="U245" s="25"/>
      <c r="V245" s="26">
        <f t="shared" si="138"/>
        <v>0</v>
      </c>
      <c r="W245" s="25"/>
      <c r="X245" s="26">
        <f t="shared" si="139"/>
        <v>0</v>
      </c>
      <c r="Y245" s="25">
        <f>1715+12045</f>
        <v>13760</v>
      </c>
      <c r="Z245" s="25">
        <f>1913+12045</f>
        <v>13958</v>
      </c>
    </row>
    <row r="246" spans="1:26" ht="13.9" hidden="1" customHeight="1" x14ac:dyDescent="0.25">
      <c r="A246" s="15">
        <v>4</v>
      </c>
      <c r="B246" s="15">
        <v>3</v>
      </c>
      <c r="D246" s="10"/>
      <c r="E246" s="24">
        <v>640</v>
      </c>
      <c r="F246" s="24" t="s">
        <v>130</v>
      </c>
      <c r="G246" s="25">
        <v>0</v>
      </c>
      <c r="H246" s="25">
        <v>0</v>
      </c>
      <c r="I246" s="45">
        <v>0</v>
      </c>
      <c r="J246" s="25">
        <v>0</v>
      </c>
      <c r="K246" s="45">
        <v>0</v>
      </c>
      <c r="L246" s="25"/>
      <c r="M246" s="25"/>
      <c r="N246" s="25"/>
      <c r="O246" s="25"/>
      <c r="P246" s="25">
        <f>K246+SUM(L246:O246)</f>
        <v>0</v>
      </c>
      <c r="Q246" s="25"/>
      <c r="R246" s="26">
        <f t="shared" si="136"/>
        <v>0</v>
      </c>
      <c r="S246" s="25"/>
      <c r="T246" s="26">
        <f t="shared" si="137"/>
        <v>0</v>
      </c>
      <c r="U246" s="25"/>
      <c r="V246" s="26">
        <f t="shared" si="138"/>
        <v>0</v>
      </c>
      <c r="W246" s="25"/>
      <c r="X246" s="26">
        <f t="shared" si="139"/>
        <v>0</v>
      </c>
      <c r="Y246" s="25">
        <v>0</v>
      </c>
      <c r="Z246" s="25">
        <v>0</v>
      </c>
    </row>
    <row r="247" spans="1:26" ht="13.9" customHeight="1" x14ac:dyDescent="0.25">
      <c r="A247" s="15">
        <v>4</v>
      </c>
      <c r="B247" s="15">
        <v>3</v>
      </c>
      <c r="D247" s="79" t="s">
        <v>21</v>
      </c>
      <c r="E247" s="47">
        <v>41</v>
      </c>
      <c r="F247" s="47" t="s">
        <v>23</v>
      </c>
      <c r="G247" s="48">
        <f t="shared" ref="G247:Q247" si="141">SUM(G243:G246)</f>
        <v>18589</v>
      </c>
      <c r="H247" s="48">
        <f t="shared" si="141"/>
        <v>61018.36</v>
      </c>
      <c r="I247" s="48">
        <f t="shared" si="141"/>
        <v>29250</v>
      </c>
      <c r="J247" s="48">
        <f t="shared" si="141"/>
        <v>32968</v>
      </c>
      <c r="K247" s="48">
        <f t="shared" si="141"/>
        <v>34701</v>
      </c>
      <c r="L247" s="48">
        <f t="shared" si="141"/>
        <v>0</v>
      </c>
      <c r="M247" s="48">
        <f t="shared" si="141"/>
        <v>0</v>
      </c>
      <c r="N247" s="48">
        <f t="shared" si="141"/>
        <v>0</v>
      </c>
      <c r="O247" s="48">
        <f t="shared" si="141"/>
        <v>0</v>
      </c>
      <c r="P247" s="48">
        <f t="shared" si="141"/>
        <v>34701</v>
      </c>
      <c r="Q247" s="48">
        <f t="shared" si="141"/>
        <v>7629.9499999999989</v>
      </c>
      <c r="R247" s="49">
        <f t="shared" si="136"/>
        <v>0.21987694879110109</v>
      </c>
      <c r="S247" s="48">
        <f>SUM(S243:S246)</f>
        <v>0</v>
      </c>
      <c r="T247" s="49">
        <f t="shared" si="137"/>
        <v>0</v>
      </c>
      <c r="U247" s="48">
        <f>SUM(U243:U246)</f>
        <v>0</v>
      </c>
      <c r="V247" s="49">
        <f t="shared" si="138"/>
        <v>0</v>
      </c>
      <c r="W247" s="48">
        <f>SUM(W243:W246)</f>
        <v>0</v>
      </c>
      <c r="X247" s="49">
        <f t="shared" si="139"/>
        <v>0</v>
      </c>
      <c r="Y247" s="48">
        <f>SUM(Y243:Y246)</f>
        <v>35815</v>
      </c>
      <c r="Z247" s="48">
        <f>SUM(Z243:Z246)</f>
        <v>37091</v>
      </c>
    </row>
    <row r="248" spans="1:26" ht="13.9" customHeight="1" x14ac:dyDescent="0.25">
      <c r="A248" s="15">
        <v>4</v>
      </c>
      <c r="B248" s="15">
        <v>3</v>
      </c>
      <c r="D248" s="84" t="s">
        <v>187</v>
      </c>
      <c r="E248" s="24">
        <v>640</v>
      </c>
      <c r="F248" s="24" t="s">
        <v>130</v>
      </c>
      <c r="G248" s="25">
        <v>49.7</v>
      </c>
      <c r="H248" s="25">
        <v>165.53</v>
      </c>
      <c r="I248" s="25">
        <v>179</v>
      </c>
      <c r="J248" s="25">
        <v>194</v>
      </c>
      <c r="K248" s="25">
        <v>172</v>
      </c>
      <c r="L248" s="25"/>
      <c r="M248" s="25"/>
      <c r="N248" s="25"/>
      <c r="O248" s="25"/>
      <c r="P248" s="25">
        <f>K248+SUM(L248:O248)</f>
        <v>172</v>
      </c>
      <c r="Q248" s="25">
        <v>0</v>
      </c>
      <c r="R248" s="26">
        <f t="shared" si="136"/>
        <v>0</v>
      </c>
      <c r="S248" s="25"/>
      <c r="T248" s="26">
        <f t="shared" si="137"/>
        <v>0</v>
      </c>
      <c r="U248" s="25"/>
      <c r="V248" s="26">
        <f t="shared" si="138"/>
        <v>0</v>
      </c>
      <c r="W248" s="25"/>
      <c r="X248" s="26">
        <f t="shared" si="139"/>
        <v>0</v>
      </c>
      <c r="Y248" s="25">
        <f>K248</f>
        <v>172</v>
      </c>
      <c r="Z248" s="25">
        <f>Y248</f>
        <v>172</v>
      </c>
    </row>
    <row r="249" spans="1:26" ht="13.9" customHeight="1" x14ac:dyDescent="0.25">
      <c r="A249" s="15">
        <v>4</v>
      </c>
      <c r="B249" s="15">
        <v>3</v>
      </c>
      <c r="D249" s="79" t="s">
        <v>21</v>
      </c>
      <c r="E249" s="47">
        <v>72</v>
      </c>
      <c r="F249" s="47" t="s">
        <v>25</v>
      </c>
      <c r="G249" s="48">
        <f t="shared" ref="G249:Q249" si="142">SUM(G248)</f>
        <v>49.7</v>
      </c>
      <c r="H249" s="48">
        <f t="shared" si="142"/>
        <v>165.53</v>
      </c>
      <c r="I249" s="48">
        <f t="shared" si="142"/>
        <v>179</v>
      </c>
      <c r="J249" s="48">
        <f t="shared" si="142"/>
        <v>194</v>
      </c>
      <c r="K249" s="48">
        <f t="shared" si="142"/>
        <v>172</v>
      </c>
      <c r="L249" s="48">
        <f t="shared" si="142"/>
        <v>0</v>
      </c>
      <c r="M249" s="48">
        <f t="shared" si="142"/>
        <v>0</v>
      </c>
      <c r="N249" s="48">
        <f t="shared" si="142"/>
        <v>0</v>
      </c>
      <c r="O249" s="48">
        <f t="shared" si="142"/>
        <v>0</v>
      </c>
      <c r="P249" s="48">
        <f t="shared" si="142"/>
        <v>172</v>
      </c>
      <c r="Q249" s="48">
        <f t="shared" si="142"/>
        <v>0</v>
      </c>
      <c r="R249" s="49">
        <f t="shared" si="136"/>
        <v>0</v>
      </c>
      <c r="S249" s="48">
        <f>SUM(S248)</f>
        <v>0</v>
      </c>
      <c r="T249" s="49">
        <f t="shared" si="137"/>
        <v>0</v>
      </c>
      <c r="U249" s="48">
        <f>SUM(U248)</f>
        <v>0</v>
      </c>
      <c r="V249" s="49">
        <f t="shared" si="138"/>
        <v>0</v>
      </c>
      <c r="W249" s="48">
        <f>SUM(W248)</f>
        <v>0</v>
      </c>
      <c r="X249" s="49">
        <f t="shared" si="139"/>
        <v>0</v>
      </c>
      <c r="Y249" s="48">
        <f>SUM(Y248)</f>
        <v>172</v>
      </c>
      <c r="Z249" s="48">
        <f>SUM(Z248)</f>
        <v>172</v>
      </c>
    </row>
    <row r="250" spans="1:26" ht="13.9" customHeight="1" x14ac:dyDescent="0.25">
      <c r="A250" s="15">
        <v>4</v>
      </c>
      <c r="B250" s="15">
        <v>3</v>
      </c>
      <c r="D250" s="86"/>
      <c r="E250" s="87"/>
      <c r="F250" s="27" t="s">
        <v>122</v>
      </c>
      <c r="G250" s="28">
        <f t="shared" ref="G250:Q250" si="143">G242+G247+G249</f>
        <v>19369.59</v>
      </c>
      <c r="H250" s="28">
        <f t="shared" si="143"/>
        <v>61183.89</v>
      </c>
      <c r="I250" s="28">
        <f t="shared" si="143"/>
        <v>29429</v>
      </c>
      <c r="J250" s="28">
        <f t="shared" si="143"/>
        <v>34249</v>
      </c>
      <c r="K250" s="28">
        <f t="shared" si="143"/>
        <v>34873</v>
      </c>
      <c r="L250" s="28">
        <f t="shared" si="143"/>
        <v>0</v>
      </c>
      <c r="M250" s="28">
        <f t="shared" si="143"/>
        <v>0</v>
      </c>
      <c r="N250" s="28">
        <f t="shared" si="143"/>
        <v>0</v>
      </c>
      <c r="O250" s="28">
        <f t="shared" si="143"/>
        <v>0</v>
      </c>
      <c r="P250" s="28">
        <f t="shared" si="143"/>
        <v>34873</v>
      </c>
      <c r="Q250" s="28">
        <f t="shared" si="143"/>
        <v>7629.9499999999989</v>
      </c>
      <c r="R250" s="29">
        <f t="shared" si="136"/>
        <v>0.2187924755541536</v>
      </c>
      <c r="S250" s="28">
        <f>S242+S247+S249</f>
        <v>0</v>
      </c>
      <c r="T250" s="29">
        <f t="shared" si="137"/>
        <v>0</v>
      </c>
      <c r="U250" s="28">
        <f>U242+U247+U249</f>
        <v>0</v>
      </c>
      <c r="V250" s="29">
        <f t="shared" si="138"/>
        <v>0</v>
      </c>
      <c r="W250" s="28">
        <f>W242+W247+W249</f>
        <v>0</v>
      </c>
      <c r="X250" s="29">
        <f t="shared" si="139"/>
        <v>0</v>
      </c>
      <c r="Y250" s="28">
        <f>Y242+Y247+Y249</f>
        <v>35987</v>
      </c>
      <c r="Z250" s="28">
        <f>Z242+Z247+Z249</f>
        <v>37263</v>
      </c>
    </row>
    <row r="252" spans="1:26" ht="13.9" customHeight="1" x14ac:dyDescent="0.25">
      <c r="E252" s="51" t="s">
        <v>55</v>
      </c>
      <c r="F252" s="30" t="s">
        <v>143</v>
      </c>
      <c r="G252" s="102">
        <v>1674.48</v>
      </c>
      <c r="H252" s="102">
        <v>1308.77</v>
      </c>
      <c r="I252" s="102">
        <v>1285</v>
      </c>
      <c r="J252" s="102">
        <v>1576</v>
      </c>
      <c r="K252" s="102">
        <v>1580</v>
      </c>
      <c r="L252" s="102"/>
      <c r="M252" s="102"/>
      <c r="N252" s="102"/>
      <c r="O252" s="102"/>
      <c r="P252" s="102">
        <f>K252+SUM(L252:O252)</f>
        <v>1580</v>
      </c>
      <c r="Q252" s="102">
        <v>177.21</v>
      </c>
      <c r="R252" s="123">
        <f>IFERROR(Q252/$P252,0)</f>
        <v>0.11215822784810127</v>
      </c>
      <c r="S252" s="102"/>
      <c r="T252" s="123">
        <f>IFERROR(S252/$P252,0)</f>
        <v>0</v>
      </c>
      <c r="U252" s="102"/>
      <c r="V252" s="123">
        <f>IFERROR(U252/$P252,0)</f>
        <v>0</v>
      </c>
      <c r="W252" s="102"/>
      <c r="X252" s="124">
        <f>IFERROR(W252/$P252,0)</f>
        <v>0</v>
      </c>
      <c r="Y252" s="52">
        <f>K252</f>
        <v>1580</v>
      </c>
      <c r="Z252" s="55">
        <f>Y252</f>
        <v>1580</v>
      </c>
    </row>
    <row r="253" spans="1:26" ht="13.9" customHeight="1" x14ac:dyDescent="0.25">
      <c r="E253" s="56"/>
      <c r="F253" s="92" t="s">
        <v>147</v>
      </c>
      <c r="G253" s="93">
        <v>1674.48</v>
      </c>
      <c r="H253" s="93">
        <v>1298.3800000000001</v>
      </c>
      <c r="I253" s="93">
        <v>2900</v>
      </c>
      <c r="J253" s="93">
        <v>1010</v>
      </c>
      <c r="K253" s="93">
        <v>1010</v>
      </c>
      <c r="L253" s="93"/>
      <c r="M253" s="93"/>
      <c r="N253" s="93"/>
      <c r="O253" s="93"/>
      <c r="P253" s="93">
        <f>K253+SUM(L253:O253)</f>
        <v>1010</v>
      </c>
      <c r="Q253" s="93">
        <v>0</v>
      </c>
      <c r="R253" s="94">
        <f>IFERROR(Q253/$P253,0)</f>
        <v>0</v>
      </c>
      <c r="S253" s="93"/>
      <c r="T253" s="96">
        <f>IFERROR(S253/$P253,0)</f>
        <v>0</v>
      </c>
      <c r="U253" s="93"/>
      <c r="V253" s="94">
        <f>IFERROR(U253/$P253,0)</f>
        <v>0</v>
      </c>
      <c r="W253" s="93"/>
      <c r="X253" s="59">
        <f>IFERROR(W253/$P253,0)</f>
        <v>0</v>
      </c>
      <c r="Y253" s="95">
        <f>K253</f>
        <v>1010</v>
      </c>
      <c r="Z253" s="60">
        <f>Y253</f>
        <v>1010</v>
      </c>
    </row>
    <row r="254" spans="1:26" ht="13.9" customHeight="1" x14ac:dyDescent="0.25">
      <c r="E254" s="56"/>
      <c r="F254" s="92" t="s">
        <v>190</v>
      </c>
      <c r="G254" s="95">
        <v>4055.44</v>
      </c>
      <c r="H254" s="95">
        <v>3991.08</v>
      </c>
      <c r="I254" s="95">
        <v>3816</v>
      </c>
      <c r="J254" s="95">
        <v>3724</v>
      </c>
      <c r="K254" s="95">
        <v>3798</v>
      </c>
      <c r="L254" s="95"/>
      <c r="M254" s="95"/>
      <c r="N254" s="95"/>
      <c r="O254" s="95"/>
      <c r="P254" s="95">
        <f>K254+SUM(L254:O254)</f>
        <v>3798</v>
      </c>
      <c r="Q254" s="95">
        <v>0</v>
      </c>
      <c r="R254" s="96">
        <f>IFERROR(Q254/$P254,0)</f>
        <v>0</v>
      </c>
      <c r="S254" s="95"/>
      <c r="T254" s="96">
        <f>IFERROR(S254/$P254,0)</f>
        <v>0</v>
      </c>
      <c r="U254" s="95"/>
      <c r="V254" s="96">
        <f>IFERROR(U254/$P254,0)</f>
        <v>0</v>
      </c>
      <c r="W254" s="95"/>
      <c r="X254" s="59">
        <f>IFERROR(W254/$P254,0)</f>
        <v>0</v>
      </c>
      <c r="Y254" s="95">
        <f>K254</f>
        <v>3798</v>
      </c>
      <c r="Z254" s="60">
        <f>Y254</f>
        <v>3798</v>
      </c>
    </row>
    <row r="255" spans="1:26" ht="13.9" customHeight="1" x14ac:dyDescent="0.25">
      <c r="E255" s="103"/>
      <c r="F255" s="119" t="s">
        <v>191</v>
      </c>
      <c r="G255" s="105">
        <v>36</v>
      </c>
      <c r="H255" s="105">
        <v>550</v>
      </c>
      <c r="I255" s="105">
        <v>1000</v>
      </c>
      <c r="J255" s="105">
        <v>1842</v>
      </c>
      <c r="K255" s="105">
        <v>1845</v>
      </c>
      <c r="L255" s="105"/>
      <c r="M255" s="105"/>
      <c r="N255" s="105"/>
      <c r="O255" s="105"/>
      <c r="P255" s="105">
        <f>K255+SUM(L255:O255)</f>
        <v>1845</v>
      </c>
      <c r="Q255" s="105">
        <v>0</v>
      </c>
      <c r="R255" s="106">
        <f>IFERROR(Q255/$P255,0)</f>
        <v>0</v>
      </c>
      <c r="S255" s="105"/>
      <c r="T255" s="106">
        <f>IFERROR(S255/$P255,0)</f>
        <v>0</v>
      </c>
      <c r="U255" s="105"/>
      <c r="V255" s="106">
        <f>IFERROR(U255/$P255,0)</f>
        <v>0</v>
      </c>
      <c r="W255" s="105"/>
      <c r="X255" s="107">
        <f>IFERROR(W255/$P255,0)</f>
        <v>0</v>
      </c>
      <c r="Y255" s="95">
        <f>K255</f>
        <v>1845</v>
      </c>
      <c r="Z255" s="60">
        <f>Y255</f>
        <v>1845</v>
      </c>
    </row>
    <row r="256" spans="1:26" ht="13.9" hidden="1" customHeight="1" x14ac:dyDescent="0.25">
      <c r="E256" s="64"/>
      <c r="F256" s="97" t="s">
        <v>192</v>
      </c>
      <c r="G256" s="105"/>
      <c r="H256" s="105">
        <v>30780</v>
      </c>
      <c r="I256" s="98"/>
      <c r="J256" s="98"/>
      <c r="K256" s="98"/>
      <c r="L256" s="98"/>
      <c r="M256" s="98"/>
      <c r="N256" s="98"/>
      <c r="O256" s="98"/>
      <c r="P256" s="98">
        <f>K256+SUM(L256:O256)</f>
        <v>0</v>
      </c>
      <c r="Q256" s="98"/>
      <c r="R256" s="120">
        <f>IFERROR(Q256/$P256,0)</f>
        <v>0</v>
      </c>
      <c r="S256" s="98"/>
      <c r="T256" s="120">
        <f>IFERROR(S256/$P256,0)</f>
        <v>0</v>
      </c>
      <c r="U256" s="98"/>
      <c r="V256" s="120">
        <f>IFERROR(U256/$P256,0)</f>
        <v>0</v>
      </c>
      <c r="W256" s="98"/>
      <c r="X256" s="121">
        <f>IFERROR(W256/$P256,0)</f>
        <v>0</v>
      </c>
      <c r="Y256" s="66">
        <f>K256</f>
        <v>0</v>
      </c>
      <c r="Z256" s="69">
        <f>Y256</f>
        <v>0</v>
      </c>
    </row>
    <row r="258" spans="1:26" ht="13.9" customHeight="1" x14ac:dyDescent="0.25">
      <c r="D258" s="32" t="s">
        <v>193</v>
      </c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3"/>
      <c r="S258" s="32"/>
      <c r="T258" s="33"/>
      <c r="U258" s="32"/>
      <c r="V258" s="33"/>
      <c r="W258" s="32"/>
      <c r="X258" s="33"/>
      <c r="Y258" s="32"/>
      <c r="Z258" s="32"/>
    </row>
    <row r="259" spans="1:26" ht="13.9" customHeight="1" x14ac:dyDescent="0.25">
      <c r="D259" s="21" t="s">
        <v>32</v>
      </c>
      <c r="E259" s="21" t="s">
        <v>33</v>
      </c>
      <c r="F259" s="21" t="s">
        <v>34</v>
      </c>
      <c r="G259" s="21" t="s">
        <v>1</v>
      </c>
      <c r="H259" s="21" t="s">
        <v>2</v>
      </c>
      <c r="I259" s="21" t="s">
        <v>3</v>
      </c>
      <c r="J259" s="21" t="s">
        <v>4</v>
      </c>
      <c r="K259" s="21" t="s">
        <v>5</v>
      </c>
      <c r="L259" s="21" t="s">
        <v>6</v>
      </c>
      <c r="M259" s="21" t="s">
        <v>7</v>
      </c>
      <c r="N259" s="21" t="s">
        <v>8</v>
      </c>
      <c r="O259" s="21" t="s">
        <v>9</v>
      </c>
      <c r="P259" s="21" t="s">
        <v>10</v>
      </c>
      <c r="Q259" s="21" t="s">
        <v>11</v>
      </c>
      <c r="R259" s="22" t="s">
        <v>12</v>
      </c>
      <c r="S259" s="21" t="s">
        <v>13</v>
      </c>
      <c r="T259" s="22" t="s">
        <v>14</v>
      </c>
      <c r="U259" s="21" t="s">
        <v>15</v>
      </c>
      <c r="V259" s="22" t="s">
        <v>16</v>
      </c>
      <c r="W259" s="21" t="s">
        <v>17</v>
      </c>
      <c r="X259" s="22" t="s">
        <v>18</v>
      </c>
      <c r="Y259" s="21" t="s">
        <v>19</v>
      </c>
      <c r="Z259" s="21" t="s">
        <v>20</v>
      </c>
    </row>
    <row r="260" spans="1:26" ht="13.9" customHeight="1" x14ac:dyDescent="0.25">
      <c r="A260" s="15">
        <v>5</v>
      </c>
      <c r="D260" s="12" t="s">
        <v>21</v>
      </c>
      <c r="E260" s="35">
        <v>111</v>
      </c>
      <c r="F260" s="35" t="s">
        <v>45</v>
      </c>
      <c r="G260" s="36">
        <f t="shared" ref="G260:Q260" si="144">G268+G316</f>
        <v>22892.3</v>
      </c>
      <c r="H260" s="36">
        <f t="shared" si="144"/>
        <v>15672.149999999998</v>
      </c>
      <c r="I260" s="36">
        <f t="shared" si="144"/>
        <v>526</v>
      </c>
      <c r="J260" s="36">
        <f t="shared" si="144"/>
        <v>856</v>
      </c>
      <c r="K260" s="36">
        <f t="shared" si="144"/>
        <v>419</v>
      </c>
      <c r="L260" s="36">
        <f t="shared" si="144"/>
        <v>0</v>
      </c>
      <c r="M260" s="36">
        <f t="shared" si="144"/>
        <v>0</v>
      </c>
      <c r="N260" s="36">
        <f t="shared" si="144"/>
        <v>0</v>
      </c>
      <c r="O260" s="36">
        <f t="shared" si="144"/>
        <v>0</v>
      </c>
      <c r="P260" s="36">
        <f t="shared" si="144"/>
        <v>419</v>
      </c>
      <c r="Q260" s="36">
        <f t="shared" si="144"/>
        <v>0</v>
      </c>
      <c r="R260" s="37">
        <f>IFERROR(Q260/$P260,0)</f>
        <v>0</v>
      </c>
      <c r="S260" s="36">
        <f>S268+S316</f>
        <v>0</v>
      </c>
      <c r="T260" s="37">
        <f>IFERROR(S260/$P260,0)</f>
        <v>0</v>
      </c>
      <c r="U260" s="36">
        <f>U268+U316</f>
        <v>0</v>
      </c>
      <c r="V260" s="37">
        <f>IFERROR(U260/$P260,0)</f>
        <v>0</v>
      </c>
      <c r="W260" s="36">
        <f>W268+W316</f>
        <v>0</v>
      </c>
      <c r="X260" s="37">
        <f>IFERROR(W260/$P260,0)</f>
        <v>0</v>
      </c>
      <c r="Y260" s="36">
        <f>Y268+Y316</f>
        <v>419</v>
      </c>
      <c r="Z260" s="36">
        <f>Z268+Z316</f>
        <v>419</v>
      </c>
    </row>
    <row r="261" spans="1:26" ht="13.9" customHeight="1" x14ac:dyDescent="0.25">
      <c r="A261" s="15">
        <v>5</v>
      </c>
      <c r="D261" s="12"/>
      <c r="E261" s="35">
        <v>41</v>
      </c>
      <c r="F261" s="35" t="s">
        <v>23</v>
      </c>
      <c r="G261" s="36">
        <f t="shared" ref="G261:Q261" si="145">G269+G317</f>
        <v>25940.57</v>
      </c>
      <c r="H261" s="36">
        <f t="shared" si="145"/>
        <v>25882.749999999996</v>
      </c>
      <c r="I261" s="36">
        <f t="shared" si="145"/>
        <v>41879</v>
      </c>
      <c r="J261" s="36">
        <f t="shared" si="145"/>
        <v>36715</v>
      </c>
      <c r="K261" s="36">
        <f t="shared" si="145"/>
        <v>35929</v>
      </c>
      <c r="L261" s="36">
        <f t="shared" si="145"/>
        <v>0</v>
      </c>
      <c r="M261" s="36">
        <f t="shared" si="145"/>
        <v>0</v>
      </c>
      <c r="N261" s="36">
        <f t="shared" si="145"/>
        <v>0</v>
      </c>
      <c r="O261" s="36">
        <f t="shared" si="145"/>
        <v>0</v>
      </c>
      <c r="P261" s="36">
        <f t="shared" si="145"/>
        <v>35929</v>
      </c>
      <c r="Q261" s="36">
        <f t="shared" si="145"/>
        <v>10954.18</v>
      </c>
      <c r="R261" s="37">
        <f>IFERROR(Q261/$P261,0)</f>
        <v>0.30488407692949987</v>
      </c>
      <c r="S261" s="36">
        <f>S269+S317</f>
        <v>0</v>
      </c>
      <c r="T261" s="37">
        <f>IFERROR(S261/$P261,0)</f>
        <v>0</v>
      </c>
      <c r="U261" s="36">
        <f>U269+U317</f>
        <v>0</v>
      </c>
      <c r="V261" s="37">
        <f>IFERROR(U261/$P261,0)</f>
        <v>0</v>
      </c>
      <c r="W261" s="36">
        <f>W269+W317</f>
        <v>0</v>
      </c>
      <c r="X261" s="37">
        <f>IFERROR(W261/$P261,0)</f>
        <v>0</v>
      </c>
      <c r="Y261" s="36">
        <f>Y269+Y317</f>
        <v>36215</v>
      </c>
      <c r="Z261" s="36">
        <f>Z269+Z317</f>
        <v>36520</v>
      </c>
    </row>
    <row r="262" spans="1:26" ht="13.9" customHeight="1" x14ac:dyDescent="0.25">
      <c r="A262" s="15">
        <v>5</v>
      </c>
      <c r="D262" s="12"/>
      <c r="E262" s="35">
        <v>71</v>
      </c>
      <c r="F262" s="35" t="s">
        <v>24</v>
      </c>
      <c r="G262" s="36">
        <f t="shared" ref="G262:Q262" si="146">G270</f>
        <v>3000</v>
      </c>
      <c r="H262" s="36">
        <f t="shared" si="146"/>
        <v>3000</v>
      </c>
      <c r="I262" s="36">
        <f t="shared" si="146"/>
        <v>3000</v>
      </c>
      <c r="J262" s="36">
        <f t="shared" si="146"/>
        <v>3000</v>
      </c>
      <c r="K262" s="36">
        <f t="shared" si="146"/>
        <v>3000</v>
      </c>
      <c r="L262" s="36">
        <f t="shared" si="146"/>
        <v>0</v>
      </c>
      <c r="M262" s="36">
        <f t="shared" si="146"/>
        <v>0</v>
      </c>
      <c r="N262" s="36">
        <f t="shared" si="146"/>
        <v>0</v>
      </c>
      <c r="O262" s="36">
        <f t="shared" si="146"/>
        <v>0</v>
      </c>
      <c r="P262" s="36">
        <f t="shared" si="146"/>
        <v>3000</v>
      </c>
      <c r="Q262" s="36">
        <f t="shared" si="146"/>
        <v>0</v>
      </c>
      <c r="R262" s="37">
        <f>IFERROR(Q262/$P262,0)</f>
        <v>0</v>
      </c>
      <c r="S262" s="36">
        <f>S270</f>
        <v>0</v>
      </c>
      <c r="T262" s="37">
        <f>IFERROR(S262/$P262,0)</f>
        <v>0</v>
      </c>
      <c r="U262" s="36">
        <f>U270</f>
        <v>0</v>
      </c>
      <c r="V262" s="37">
        <f>IFERROR(U262/$P262,0)</f>
        <v>0</v>
      </c>
      <c r="W262" s="36">
        <f>W270</f>
        <v>0</v>
      </c>
      <c r="X262" s="37">
        <f>IFERROR(W262/$P262,0)</f>
        <v>0</v>
      </c>
      <c r="Y262" s="36">
        <f>Y270</f>
        <v>3000</v>
      </c>
      <c r="Z262" s="36">
        <f>Z270</f>
        <v>3000</v>
      </c>
    </row>
    <row r="263" spans="1:26" ht="13.9" customHeight="1" x14ac:dyDescent="0.25">
      <c r="A263" s="15">
        <v>5</v>
      </c>
      <c r="D263" s="12"/>
      <c r="E263" s="35">
        <v>72</v>
      </c>
      <c r="F263" s="35" t="s">
        <v>25</v>
      </c>
      <c r="G263" s="36">
        <f t="shared" ref="G263:Q263" si="147">G318</f>
        <v>0</v>
      </c>
      <c r="H263" s="36">
        <f t="shared" si="147"/>
        <v>0</v>
      </c>
      <c r="I263" s="36">
        <f t="shared" si="147"/>
        <v>0</v>
      </c>
      <c r="J263" s="36">
        <f t="shared" si="147"/>
        <v>0</v>
      </c>
      <c r="K263" s="36">
        <f t="shared" si="147"/>
        <v>0</v>
      </c>
      <c r="L263" s="36">
        <f t="shared" si="147"/>
        <v>0</v>
      </c>
      <c r="M263" s="36">
        <f t="shared" si="147"/>
        <v>0</v>
      </c>
      <c r="N263" s="36">
        <f t="shared" si="147"/>
        <v>0</v>
      </c>
      <c r="O263" s="36">
        <f t="shared" si="147"/>
        <v>0</v>
      </c>
      <c r="P263" s="36">
        <f t="shared" si="147"/>
        <v>0</v>
      </c>
      <c r="Q263" s="36">
        <f t="shared" si="147"/>
        <v>0</v>
      </c>
      <c r="R263" s="37">
        <f>IFERROR(Q263/$P263,0)</f>
        <v>0</v>
      </c>
      <c r="S263" s="36">
        <f>S318</f>
        <v>0</v>
      </c>
      <c r="T263" s="37">
        <f>IFERROR(S263/$P263,0)</f>
        <v>0</v>
      </c>
      <c r="U263" s="36">
        <f>U318</f>
        <v>0</v>
      </c>
      <c r="V263" s="37">
        <f>IFERROR(U263/$P263,0)</f>
        <v>0</v>
      </c>
      <c r="W263" s="36">
        <f>W318</f>
        <v>0</v>
      </c>
      <c r="X263" s="37">
        <f>IFERROR(W263/$P263,0)</f>
        <v>0</v>
      </c>
      <c r="Y263" s="36">
        <f>Y318</f>
        <v>0</v>
      </c>
      <c r="Z263" s="36">
        <f>Z318</f>
        <v>0</v>
      </c>
    </row>
    <row r="264" spans="1:26" ht="13.9" customHeight="1" x14ac:dyDescent="0.25">
      <c r="A264" s="15">
        <v>5</v>
      </c>
      <c r="D264" s="30"/>
      <c r="E264" s="31"/>
      <c r="F264" s="38" t="s">
        <v>122</v>
      </c>
      <c r="G264" s="39">
        <f t="shared" ref="G264:Q264" si="148">SUM(G260:G263)</f>
        <v>51832.869999999995</v>
      </c>
      <c r="H264" s="39">
        <f t="shared" si="148"/>
        <v>44554.899999999994</v>
      </c>
      <c r="I264" s="39">
        <f t="shared" si="148"/>
        <v>45405</v>
      </c>
      <c r="J264" s="39">
        <f t="shared" si="148"/>
        <v>40571</v>
      </c>
      <c r="K264" s="39">
        <f t="shared" si="148"/>
        <v>39348</v>
      </c>
      <c r="L264" s="39">
        <f t="shared" si="148"/>
        <v>0</v>
      </c>
      <c r="M264" s="39">
        <f t="shared" si="148"/>
        <v>0</v>
      </c>
      <c r="N264" s="39">
        <f t="shared" si="148"/>
        <v>0</v>
      </c>
      <c r="O264" s="39">
        <f t="shared" si="148"/>
        <v>0</v>
      </c>
      <c r="P264" s="39">
        <f t="shared" si="148"/>
        <v>39348</v>
      </c>
      <c r="Q264" s="39">
        <f t="shared" si="148"/>
        <v>10954.18</v>
      </c>
      <c r="R264" s="40">
        <f>IFERROR(Q264/$P264,0)</f>
        <v>0.27839229439869878</v>
      </c>
      <c r="S264" s="39">
        <f>SUM(S260:S263)</f>
        <v>0</v>
      </c>
      <c r="T264" s="40">
        <f>IFERROR(S264/$P264,0)</f>
        <v>0</v>
      </c>
      <c r="U264" s="39">
        <f>SUM(U260:U263)</f>
        <v>0</v>
      </c>
      <c r="V264" s="40">
        <f>IFERROR(U264/$P264,0)</f>
        <v>0</v>
      </c>
      <c r="W264" s="39">
        <f>SUM(W260:W263)</f>
        <v>0</v>
      </c>
      <c r="X264" s="40">
        <f>IFERROR(W264/$P264,0)</f>
        <v>0</v>
      </c>
      <c r="Y264" s="39">
        <f>SUM(Y260:Y263)</f>
        <v>39634</v>
      </c>
      <c r="Z264" s="39">
        <f>SUM(Z260:Z263)</f>
        <v>39939</v>
      </c>
    </row>
    <row r="266" spans="1:26" ht="13.9" customHeight="1" x14ac:dyDescent="0.25">
      <c r="D266" s="41" t="s">
        <v>194</v>
      </c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2"/>
      <c r="S266" s="41"/>
      <c r="T266" s="42"/>
      <c r="U266" s="41"/>
      <c r="V266" s="42"/>
      <c r="W266" s="41"/>
      <c r="X266" s="42"/>
      <c r="Y266" s="41"/>
      <c r="Z266" s="41"/>
    </row>
    <row r="267" spans="1:26" ht="13.9" customHeight="1" x14ac:dyDescent="0.25">
      <c r="D267" s="127"/>
      <c r="E267" s="127"/>
      <c r="F267" s="127"/>
      <c r="G267" s="21" t="s">
        <v>1</v>
      </c>
      <c r="H267" s="21" t="s">
        <v>2</v>
      </c>
      <c r="I267" s="21" t="s">
        <v>3</v>
      </c>
      <c r="J267" s="21" t="s">
        <v>4</v>
      </c>
      <c r="K267" s="21" t="s">
        <v>5</v>
      </c>
      <c r="L267" s="21" t="s">
        <v>6</v>
      </c>
      <c r="M267" s="21" t="s">
        <v>7</v>
      </c>
      <c r="N267" s="21" t="s">
        <v>8</v>
      </c>
      <c r="O267" s="21" t="s">
        <v>9</v>
      </c>
      <c r="P267" s="21" t="s">
        <v>10</v>
      </c>
      <c r="Q267" s="21" t="s">
        <v>11</v>
      </c>
      <c r="R267" s="22" t="s">
        <v>12</v>
      </c>
      <c r="S267" s="21" t="s">
        <v>13</v>
      </c>
      <c r="T267" s="22" t="s">
        <v>14</v>
      </c>
      <c r="U267" s="21" t="s">
        <v>15</v>
      </c>
      <c r="V267" s="22" t="s">
        <v>16</v>
      </c>
      <c r="W267" s="21" t="s">
        <v>17</v>
      </c>
      <c r="X267" s="22" t="s">
        <v>18</v>
      </c>
      <c r="Y267" s="21" t="s">
        <v>19</v>
      </c>
      <c r="Z267" s="21" t="s">
        <v>20</v>
      </c>
    </row>
    <row r="268" spans="1:26" ht="13.9" customHeight="1" x14ac:dyDescent="0.25">
      <c r="A268" s="15">
        <v>5</v>
      </c>
      <c r="B268" s="15">
        <v>1</v>
      </c>
      <c r="D268" s="13" t="s">
        <v>21</v>
      </c>
      <c r="E268" s="24">
        <v>111</v>
      </c>
      <c r="F268" s="24" t="s">
        <v>45</v>
      </c>
      <c r="G268" s="25">
        <f t="shared" ref="G268:Q268" si="149">G276+G291+G299</f>
        <v>22232.69</v>
      </c>
      <c r="H268" s="25">
        <f t="shared" si="149"/>
        <v>11635.769999999999</v>
      </c>
      <c r="I268" s="25">
        <f t="shared" si="149"/>
        <v>526</v>
      </c>
      <c r="J268" s="25">
        <f t="shared" si="149"/>
        <v>312</v>
      </c>
      <c r="K268" s="25">
        <f t="shared" si="149"/>
        <v>419</v>
      </c>
      <c r="L268" s="25">
        <f t="shared" si="149"/>
        <v>0</v>
      </c>
      <c r="M268" s="25">
        <f t="shared" si="149"/>
        <v>0</v>
      </c>
      <c r="N268" s="25">
        <f t="shared" si="149"/>
        <v>0</v>
      </c>
      <c r="O268" s="25">
        <f t="shared" si="149"/>
        <v>0</v>
      </c>
      <c r="P268" s="25">
        <f t="shared" si="149"/>
        <v>419</v>
      </c>
      <c r="Q268" s="25">
        <f t="shared" si="149"/>
        <v>0</v>
      </c>
      <c r="R268" s="26">
        <f>IFERROR(Q268/$P268,0)</f>
        <v>0</v>
      </c>
      <c r="S268" s="25">
        <f>S276+S291+S299</f>
        <v>0</v>
      </c>
      <c r="T268" s="26">
        <f>IFERROR(S268/$P268,0)</f>
        <v>0</v>
      </c>
      <c r="U268" s="25">
        <f>U276+U291+U299</f>
        <v>0</v>
      </c>
      <c r="V268" s="26">
        <f>IFERROR(U268/$P268,0)</f>
        <v>0</v>
      </c>
      <c r="W268" s="25">
        <f>W276+W291+W299</f>
        <v>0</v>
      </c>
      <c r="X268" s="26">
        <f>IFERROR(W268/$P268,0)</f>
        <v>0</v>
      </c>
      <c r="Y268" s="25">
        <f>Y276+Y291+Y299</f>
        <v>419</v>
      </c>
      <c r="Z268" s="25">
        <f>Z276+Z291+Z299</f>
        <v>419</v>
      </c>
    </row>
    <row r="269" spans="1:26" ht="13.9" customHeight="1" x14ac:dyDescent="0.25">
      <c r="A269" s="15">
        <v>5</v>
      </c>
      <c r="B269" s="15">
        <v>1</v>
      </c>
      <c r="D269" s="13"/>
      <c r="E269" s="24">
        <v>41</v>
      </c>
      <c r="F269" s="24" t="s">
        <v>23</v>
      </c>
      <c r="G269" s="25">
        <f t="shared" ref="G269:Q269" si="150">G279+G293+G302+G311</f>
        <v>15639.56</v>
      </c>
      <c r="H269" s="25">
        <f t="shared" si="150"/>
        <v>12631.149999999998</v>
      </c>
      <c r="I269" s="25">
        <f t="shared" si="150"/>
        <v>20500</v>
      </c>
      <c r="J269" s="25">
        <f t="shared" si="150"/>
        <v>22318</v>
      </c>
      <c r="K269" s="25">
        <f t="shared" si="150"/>
        <v>22416</v>
      </c>
      <c r="L269" s="25">
        <f t="shared" si="150"/>
        <v>0</v>
      </c>
      <c r="M269" s="25">
        <f t="shared" si="150"/>
        <v>0</v>
      </c>
      <c r="N269" s="25">
        <f t="shared" si="150"/>
        <v>0</v>
      </c>
      <c r="O269" s="25">
        <f t="shared" si="150"/>
        <v>0</v>
      </c>
      <c r="P269" s="25">
        <f t="shared" si="150"/>
        <v>22416</v>
      </c>
      <c r="Q269" s="25">
        <f t="shared" si="150"/>
        <v>7428.55</v>
      </c>
      <c r="R269" s="26">
        <f>IFERROR(Q269/$P269,0)</f>
        <v>0.3313949857244825</v>
      </c>
      <c r="S269" s="25">
        <f>S279+S293+S302+S311</f>
        <v>0</v>
      </c>
      <c r="T269" s="26">
        <f>IFERROR(S269/$P269,0)</f>
        <v>0</v>
      </c>
      <c r="U269" s="25">
        <f>U279+U293+U302+U311</f>
        <v>0</v>
      </c>
      <c r="V269" s="26">
        <f>IFERROR(U269/$P269,0)</f>
        <v>0</v>
      </c>
      <c r="W269" s="25">
        <f>W279+W293+W302+W311</f>
        <v>0</v>
      </c>
      <c r="X269" s="26">
        <f>IFERROR(W269/$P269,0)</f>
        <v>0</v>
      </c>
      <c r="Y269" s="25">
        <f>Y279+Y293+Y302+Y311</f>
        <v>22416</v>
      </c>
      <c r="Z269" s="25">
        <f>Z279+Z293+Z302+Z311</f>
        <v>22416</v>
      </c>
    </row>
    <row r="270" spans="1:26" ht="13.9" customHeight="1" x14ac:dyDescent="0.25">
      <c r="A270" s="15">
        <v>5</v>
      </c>
      <c r="B270" s="15">
        <v>1</v>
      </c>
      <c r="D270" s="13"/>
      <c r="E270" s="24">
        <v>71</v>
      </c>
      <c r="F270" s="24" t="s">
        <v>24</v>
      </c>
      <c r="G270" s="25">
        <f t="shared" ref="G270:Q270" si="151">G281</f>
        <v>3000</v>
      </c>
      <c r="H270" s="25">
        <f t="shared" si="151"/>
        <v>3000</v>
      </c>
      <c r="I270" s="25">
        <f t="shared" si="151"/>
        <v>3000</v>
      </c>
      <c r="J270" s="25">
        <f t="shared" si="151"/>
        <v>3000</v>
      </c>
      <c r="K270" s="25">
        <f t="shared" si="151"/>
        <v>3000</v>
      </c>
      <c r="L270" s="25">
        <f t="shared" si="151"/>
        <v>0</v>
      </c>
      <c r="M270" s="25">
        <f t="shared" si="151"/>
        <v>0</v>
      </c>
      <c r="N270" s="25">
        <f t="shared" si="151"/>
        <v>0</v>
      </c>
      <c r="O270" s="25">
        <f t="shared" si="151"/>
        <v>0</v>
      </c>
      <c r="P270" s="25">
        <f t="shared" si="151"/>
        <v>3000</v>
      </c>
      <c r="Q270" s="25">
        <f t="shared" si="151"/>
        <v>0</v>
      </c>
      <c r="R270" s="26">
        <f>IFERROR(Q270/$P270,0)</f>
        <v>0</v>
      </c>
      <c r="S270" s="25">
        <f>S281</f>
        <v>0</v>
      </c>
      <c r="T270" s="26">
        <f>IFERROR(S270/$P270,0)</f>
        <v>0</v>
      </c>
      <c r="U270" s="25">
        <f>U281</f>
        <v>0</v>
      </c>
      <c r="V270" s="26">
        <f>IFERROR(U270/$P270,0)</f>
        <v>0</v>
      </c>
      <c r="W270" s="25">
        <f>W281</f>
        <v>0</v>
      </c>
      <c r="X270" s="26">
        <f>IFERROR(W270/$P270,0)</f>
        <v>0</v>
      </c>
      <c r="Y270" s="25">
        <f>Y281</f>
        <v>3000</v>
      </c>
      <c r="Z270" s="25">
        <f>Z281</f>
        <v>3000</v>
      </c>
    </row>
    <row r="271" spans="1:26" ht="13.9" customHeight="1" x14ac:dyDescent="0.25">
      <c r="A271" s="15">
        <v>5</v>
      </c>
      <c r="B271" s="15">
        <v>1</v>
      </c>
      <c r="D271" s="30"/>
      <c r="E271" s="31"/>
      <c r="F271" s="27" t="s">
        <v>122</v>
      </c>
      <c r="G271" s="28">
        <f t="shared" ref="G271:Q271" si="152">SUM(G268:G270)</f>
        <v>40872.25</v>
      </c>
      <c r="H271" s="28">
        <f t="shared" si="152"/>
        <v>27266.92</v>
      </c>
      <c r="I271" s="28">
        <f t="shared" si="152"/>
        <v>24026</v>
      </c>
      <c r="J271" s="28">
        <f t="shared" si="152"/>
        <v>25630</v>
      </c>
      <c r="K271" s="28">
        <f t="shared" si="152"/>
        <v>25835</v>
      </c>
      <c r="L271" s="28">
        <f t="shared" si="152"/>
        <v>0</v>
      </c>
      <c r="M271" s="28">
        <f t="shared" si="152"/>
        <v>0</v>
      </c>
      <c r="N271" s="28">
        <f t="shared" si="152"/>
        <v>0</v>
      </c>
      <c r="O271" s="28">
        <f t="shared" si="152"/>
        <v>0</v>
      </c>
      <c r="P271" s="28">
        <f t="shared" si="152"/>
        <v>25835</v>
      </c>
      <c r="Q271" s="28">
        <f t="shared" si="152"/>
        <v>7428.55</v>
      </c>
      <c r="R271" s="29">
        <f>IFERROR(Q271/$P271,0)</f>
        <v>0.28753822334042967</v>
      </c>
      <c r="S271" s="28">
        <f>SUM(S268:S270)</f>
        <v>0</v>
      </c>
      <c r="T271" s="29">
        <f>IFERROR(S271/$P271,0)</f>
        <v>0</v>
      </c>
      <c r="U271" s="28">
        <f>SUM(U268:U270)</f>
        <v>0</v>
      </c>
      <c r="V271" s="29">
        <f>IFERROR(U271/$P271,0)</f>
        <v>0</v>
      </c>
      <c r="W271" s="28">
        <f>SUM(W268:W270)</f>
        <v>0</v>
      </c>
      <c r="X271" s="29">
        <f>IFERROR(W271/$P271,0)</f>
        <v>0</v>
      </c>
      <c r="Y271" s="28">
        <f>SUM(Y268:Y270)</f>
        <v>25835</v>
      </c>
      <c r="Z271" s="28">
        <f>SUM(Z268:Z270)</f>
        <v>25835</v>
      </c>
    </row>
    <row r="273" spans="1:26" ht="13.9" customHeight="1" x14ac:dyDescent="0.25">
      <c r="D273" s="72" t="s">
        <v>195</v>
      </c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3"/>
      <c r="S273" s="72"/>
      <c r="T273" s="73"/>
      <c r="U273" s="72"/>
      <c r="V273" s="73"/>
      <c r="W273" s="72"/>
      <c r="X273" s="73"/>
      <c r="Y273" s="72"/>
      <c r="Z273" s="72"/>
    </row>
    <row r="274" spans="1:26" ht="13.9" customHeight="1" x14ac:dyDescent="0.25">
      <c r="D274" s="21" t="s">
        <v>32</v>
      </c>
      <c r="E274" s="21" t="s">
        <v>33</v>
      </c>
      <c r="F274" s="21" t="s">
        <v>34</v>
      </c>
      <c r="G274" s="21" t="s">
        <v>1</v>
      </c>
      <c r="H274" s="21" t="s">
        <v>2</v>
      </c>
      <c r="I274" s="21" t="s">
        <v>3</v>
      </c>
      <c r="J274" s="21" t="s">
        <v>4</v>
      </c>
      <c r="K274" s="21" t="s">
        <v>5</v>
      </c>
      <c r="L274" s="21" t="s">
        <v>6</v>
      </c>
      <c r="M274" s="21" t="s">
        <v>7</v>
      </c>
      <c r="N274" s="21" t="s">
        <v>8</v>
      </c>
      <c r="O274" s="21" t="s">
        <v>9</v>
      </c>
      <c r="P274" s="21" t="s">
        <v>10</v>
      </c>
      <c r="Q274" s="21" t="s">
        <v>11</v>
      </c>
      <c r="R274" s="22" t="s">
        <v>12</v>
      </c>
      <c r="S274" s="21" t="s">
        <v>13</v>
      </c>
      <c r="T274" s="22" t="s">
        <v>14</v>
      </c>
      <c r="U274" s="21" t="s">
        <v>15</v>
      </c>
      <c r="V274" s="22" t="s">
        <v>16</v>
      </c>
      <c r="W274" s="21" t="s">
        <v>17</v>
      </c>
      <c r="X274" s="22" t="s">
        <v>18</v>
      </c>
      <c r="Y274" s="21" t="s">
        <v>19</v>
      </c>
      <c r="Z274" s="21" t="s">
        <v>20</v>
      </c>
    </row>
    <row r="275" spans="1:26" ht="13.9" customHeight="1" x14ac:dyDescent="0.25">
      <c r="A275" s="15">
        <v>5</v>
      </c>
      <c r="B275" s="15">
        <v>1</v>
      </c>
      <c r="C275" s="15">
        <v>1</v>
      </c>
      <c r="D275" s="50" t="s">
        <v>196</v>
      </c>
      <c r="E275" s="24">
        <v>630</v>
      </c>
      <c r="F275" s="24" t="s">
        <v>129</v>
      </c>
      <c r="G275" s="45">
        <v>303.02999999999997</v>
      </c>
      <c r="H275" s="45">
        <v>213.6</v>
      </c>
      <c r="I275" s="25">
        <v>214</v>
      </c>
      <c r="J275" s="25">
        <v>0</v>
      </c>
      <c r="K275" s="25">
        <f>príjmy!H98</f>
        <v>107</v>
      </c>
      <c r="L275" s="25"/>
      <c r="M275" s="25"/>
      <c r="N275" s="25"/>
      <c r="O275" s="25"/>
      <c r="P275" s="45">
        <f>K275+SUM(L275:O275)</f>
        <v>107</v>
      </c>
      <c r="Q275" s="45">
        <v>0</v>
      </c>
      <c r="R275" s="46">
        <f t="shared" ref="R275:R282" si="153">IFERROR(Q275/$P275,0)</f>
        <v>0</v>
      </c>
      <c r="S275" s="45"/>
      <c r="T275" s="46">
        <f t="shared" ref="T275:T282" si="154">IFERROR(S275/$P275,0)</f>
        <v>0</v>
      </c>
      <c r="U275" s="45"/>
      <c r="V275" s="46">
        <f t="shared" ref="V275:V282" si="155">IFERROR(U275/$P275,0)</f>
        <v>0</v>
      </c>
      <c r="W275" s="45"/>
      <c r="X275" s="46">
        <f t="shared" ref="X275:X282" si="156">IFERROR(W275/$P275,0)</f>
        <v>0</v>
      </c>
      <c r="Y275" s="25">
        <f>príjmy!V98</f>
        <v>107</v>
      </c>
      <c r="Z275" s="25">
        <f>príjmy!W98</f>
        <v>107</v>
      </c>
    </row>
    <row r="276" spans="1:26" ht="13.9" customHeight="1" x14ac:dyDescent="0.25">
      <c r="A276" s="15">
        <v>5</v>
      </c>
      <c r="B276" s="15">
        <v>1</v>
      </c>
      <c r="C276" s="15">
        <v>1</v>
      </c>
      <c r="D276" s="79" t="s">
        <v>21</v>
      </c>
      <c r="E276" s="47">
        <v>111</v>
      </c>
      <c r="F276" s="47" t="s">
        <v>23</v>
      </c>
      <c r="G276" s="48">
        <f t="shared" ref="G276:Q276" si="157">SUM(G275)</f>
        <v>303.02999999999997</v>
      </c>
      <c r="H276" s="48">
        <f t="shared" si="157"/>
        <v>213.6</v>
      </c>
      <c r="I276" s="48">
        <f t="shared" si="157"/>
        <v>214</v>
      </c>
      <c r="J276" s="48">
        <f t="shared" si="157"/>
        <v>0</v>
      </c>
      <c r="K276" s="48">
        <f t="shared" si="157"/>
        <v>107</v>
      </c>
      <c r="L276" s="48">
        <f t="shared" si="157"/>
        <v>0</v>
      </c>
      <c r="M276" s="48">
        <f t="shared" si="157"/>
        <v>0</v>
      </c>
      <c r="N276" s="48">
        <f t="shared" si="157"/>
        <v>0</v>
      </c>
      <c r="O276" s="48">
        <f t="shared" si="157"/>
        <v>0</v>
      </c>
      <c r="P276" s="48">
        <f t="shared" si="157"/>
        <v>107</v>
      </c>
      <c r="Q276" s="48">
        <f t="shared" si="157"/>
        <v>0</v>
      </c>
      <c r="R276" s="49">
        <f t="shared" si="153"/>
        <v>0</v>
      </c>
      <c r="S276" s="48">
        <f>SUM(S275)</f>
        <v>0</v>
      </c>
      <c r="T276" s="49">
        <f t="shared" si="154"/>
        <v>0</v>
      </c>
      <c r="U276" s="48">
        <f>SUM(U275)</f>
        <v>0</v>
      </c>
      <c r="V276" s="49">
        <f t="shared" si="155"/>
        <v>0</v>
      </c>
      <c r="W276" s="48">
        <f>SUM(W275)</f>
        <v>0</v>
      </c>
      <c r="X276" s="49">
        <f t="shared" si="156"/>
        <v>0</v>
      </c>
      <c r="Y276" s="48">
        <f>SUM(Y275)</f>
        <v>107</v>
      </c>
      <c r="Z276" s="48">
        <f>SUM(Z275)</f>
        <v>107</v>
      </c>
    </row>
    <row r="277" spans="1:26" ht="13.9" customHeight="1" x14ac:dyDescent="0.25">
      <c r="A277" s="15">
        <v>5</v>
      </c>
      <c r="B277" s="15">
        <v>1</v>
      </c>
      <c r="C277" s="15">
        <v>1</v>
      </c>
      <c r="D277" s="3" t="s">
        <v>196</v>
      </c>
      <c r="E277" s="24">
        <v>630</v>
      </c>
      <c r="F277" s="24" t="s">
        <v>129</v>
      </c>
      <c r="G277" s="25">
        <v>3797.18</v>
      </c>
      <c r="H277" s="25">
        <v>2096.2199999999998</v>
      </c>
      <c r="I277" s="25">
        <v>1982</v>
      </c>
      <c r="J277" s="25">
        <v>1528</v>
      </c>
      <c r="K277" s="25">
        <v>1797</v>
      </c>
      <c r="L277" s="25"/>
      <c r="M277" s="25"/>
      <c r="N277" s="25"/>
      <c r="O277" s="25"/>
      <c r="P277" s="25">
        <f>K277+SUM(L277:O277)</f>
        <v>1797</v>
      </c>
      <c r="Q277" s="25">
        <v>260.66000000000003</v>
      </c>
      <c r="R277" s="26">
        <f t="shared" si="153"/>
        <v>0.14505286588759045</v>
      </c>
      <c r="S277" s="25"/>
      <c r="T277" s="26">
        <f t="shared" si="154"/>
        <v>0</v>
      </c>
      <c r="U277" s="25"/>
      <c r="V277" s="26">
        <f t="shared" si="155"/>
        <v>0</v>
      </c>
      <c r="W277" s="25"/>
      <c r="X277" s="26">
        <f t="shared" si="156"/>
        <v>0</v>
      </c>
      <c r="Y277" s="25">
        <f>K277</f>
        <v>1797</v>
      </c>
      <c r="Z277" s="25">
        <f>Y277</f>
        <v>1797</v>
      </c>
    </row>
    <row r="278" spans="1:26" ht="13.9" customHeight="1" x14ac:dyDescent="0.25">
      <c r="A278" s="15">
        <v>5</v>
      </c>
      <c r="B278" s="15">
        <v>1</v>
      </c>
      <c r="C278" s="15">
        <v>1</v>
      </c>
      <c r="D278" s="3"/>
      <c r="E278" s="24">
        <v>640</v>
      </c>
      <c r="F278" s="24" t="s">
        <v>130</v>
      </c>
      <c r="G278" s="45">
        <v>2440</v>
      </c>
      <c r="H278" s="45">
        <v>1800</v>
      </c>
      <c r="I278" s="45">
        <v>2400</v>
      </c>
      <c r="J278" s="45">
        <v>2400</v>
      </c>
      <c r="K278" s="45">
        <v>2400</v>
      </c>
      <c r="L278" s="45"/>
      <c r="M278" s="45"/>
      <c r="N278" s="45"/>
      <c r="O278" s="45"/>
      <c r="P278" s="45">
        <f>K278+SUM(L278:O278)</f>
        <v>2400</v>
      </c>
      <c r="Q278" s="45">
        <v>2400</v>
      </c>
      <c r="R278" s="46">
        <f t="shared" si="153"/>
        <v>1</v>
      </c>
      <c r="S278" s="45"/>
      <c r="T278" s="46">
        <f t="shared" si="154"/>
        <v>0</v>
      </c>
      <c r="U278" s="45"/>
      <c r="V278" s="46">
        <f t="shared" si="155"/>
        <v>0</v>
      </c>
      <c r="W278" s="45"/>
      <c r="X278" s="46">
        <f t="shared" si="156"/>
        <v>0</v>
      </c>
      <c r="Y278" s="25">
        <f>K278</f>
        <v>2400</v>
      </c>
      <c r="Z278" s="25">
        <f>Y278</f>
        <v>2400</v>
      </c>
    </row>
    <row r="279" spans="1:26" ht="13.9" customHeight="1" x14ac:dyDescent="0.25">
      <c r="A279" s="15">
        <v>5</v>
      </c>
      <c r="B279" s="15">
        <v>1</v>
      </c>
      <c r="C279" s="15">
        <v>1</v>
      </c>
      <c r="D279" s="79" t="s">
        <v>21</v>
      </c>
      <c r="E279" s="47">
        <v>41</v>
      </c>
      <c r="F279" s="47" t="s">
        <v>23</v>
      </c>
      <c r="G279" s="48">
        <f t="shared" ref="G279:Q279" si="158">SUM(G277:G278)</f>
        <v>6237.18</v>
      </c>
      <c r="H279" s="48">
        <f t="shared" si="158"/>
        <v>3896.22</v>
      </c>
      <c r="I279" s="48">
        <f t="shared" si="158"/>
        <v>4382</v>
      </c>
      <c r="J279" s="48">
        <f t="shared" si="158"/>
        <v>3928</v>
      </c>
      <c r="K279" s="48">
        <f t="shared" si="158"/>
        <v>4197</v>
      </c>
      <c r="L279" s="48">
        <f t="shared" si="158"/>
        <v>0</v>
      </c>
      <c r="M279" s="48">
        <f t="shared" si="158"/>
        <v>0</v>
      </c>
      <c r="N279" s="48">
        <f t="shared" si="158"/>
        <v>0</v>
      </c>
      <c r="O279" s="48">
        <f t="shared" si="158"/>
        <v>0</v>
      </c>
      <c r="P279" s="48">
        <f t="shared" si="158"/>
        <v>4197</v>
      </c>
      <c r="Q279" s="48">
        <f t="shared" si="158"/>
        <v>2660.66</v>
      </c>
      <c r="R279" s="49">
        <f t="shared" si="153"/>
        <v>0.6339432928282106</v>
      </c>
      <c r="S279" s="48">
        <f>SUM(S277:S278)</f>
        <v>0</v>
      </c>
      <c r="T279" s="49">
        <f t="shared" si="154"/>
        <v>0</v>
      </c>
      <c r="U279" s="48">
        <f>SUM(U277:U278)</f>
        <v>0</v>
      </c>
      <c r="V279" s="49">
        <f t="shared" si="155"/>
        <v>0</v>
      </c>
      <c r="W279" s="48">
        <f>SUM(W277:W278)</f>
        <v>0</v>
      </c>
      <c r="X279" s="49">
        <f t="shared" si="156"/>
        <v>0</v>
      </c>
      <c r="Y279" s="48">
        <f>SUM(Y277:Y278)</f>
        <v>4197</v>
      </c>
      <c r="Z279" s="48">
        <f>SUM(Z277:Z278)</f>
        <v>4197</v>
      </c>
    </row>
    <row r="280" spans="1:26" ht="13.9" customHeight="1" x14ac:dyDescent="0.25">
      <c r="A280" s="15">
        <v>5</v>
      </c>
      <c r="B280" s="15">
        <v>1</v>
      </c>
      <c r="C280" s="15">
        <v>1</v>
      </c>
      <c r="D280" s="91" t="s">
        <v>196</v>
      </c>
      <c r="E280" s="24">
        <v>630</v>
      </c>
      <c r="F280" s="24" t="s">
        <v>129</v>
      </c>
      <c r="G280" s="25">
        <v>3000</v>
      </c>
      <c r="H280" s="25">
        <v>3000</v>
      </c>
      <c r="I280" s="25">
        <v>3000</v>
      </c>
      <c r="J280" s="25">
        <v>3000</v>
      </c>
      <c r="K280" s="25">
        <v>3000</v>
      </c>
      <c r="L280" s="25"/>
      <c r="M280" s="25"/>
      <c r="N280" s="25"/>
      <c r="O280" s="25"/>
      <c r="P280" s="25">
        <f>K280+SUM(L280:O280)</f>
        <v>3000</v>
      </c>
      <c r="Q280" s="25">
        <v>0</v>
      </c>
      <c r="R280" s="26">
        <f t="shared" si="153"/>
        <v>0</v>
      </c>
      <c r="S280" s="25"/>
      <c r="T280" s="26">
        <f t="shared" si="154"/>
        <v>0</v>
      </c>
      <c r="U280" s="25"/>
      <c r="V280" s="26">
        <f t="shared" si="155"/>
        <v>0</v>
      </c>
      <c r="W280" s="25"/>
      <c r="X280" s="26">
        <f t="shared" si="156"/>
        <v>0</v>
      </c>
      <c r="Y280" s="25">
        <f>príjmy!V118</f>
        <v>3000</v>
      </c>
      <c r="Z280" s="25">
        <f>príjmy!W118</f>
        <v>3000</v>
      </c>
    </row>
    <row r="281" spans="1:26" ht="13.9" customHeight="1" x14ac:dyDescent="0.25">
      <c r="A281" s="15">
        <v>5</v>
      </c>
      <c r="B281" s="15">
        <v>1</v>
      </c>
      <c r="C281" s="15">
        <v>1</v>
      </c>
      <c r="D281" s="79" t="s">
        <v>21</v>
      </c>
      <c r="E281" s="47">
        <v>71</v>
      </c>
      <c r="F281" s="47" t="s">
        <v>24</v>
      </c>
      <c r="G281" s="48">
        <f t="shared" ref="G281:Q281" si="159">SUM(G280)</f>
        <v>3000</v>
      </c>
      <c r="H281" s="48">
        <f t="shared" si="159"/>
        <v>3000</v>
      </c>
      <c r="I281" s="48">
        <f t="shared" si="159"/>
        <v>3000</v>
      </c>
      <c r="J281" s="48">
        <f t="shared" si="159"/>
        <v>3000</v>
      </c>
      <c r="K281" s="48">
        <f t="shared" si="159"/>
        <v>3000</v>
      </c>
      <c r="L281" s="48">
        <f t="shared" si="159"/>
        <v>0</v>
      </c>
      <c r="M281" s="48">
        <f t="shared" si="159"/>
        <v>0</v>
      </c>
      <c r="N281" s="48">
        <f t="shared" si="159"/>
        <v>0</v>
      </c>
      <c r="O281" s="48">
        <f t="shared" si="159"/>
        <v>0</v>
      </c>
      <c r="P281" s="48">
        <f t="shared" si="159"/>
        <v>3000</v>
      </c>
      <c r="Q281" s="48">
        <f t="shared" si="159"/>
        <v>0</v>
      </c>
      <c r="R281" s="49">
        <f t="shared" si="153"/>
        <v>0</v>
      </c>
      <c r="S281" s="48">
        <f>SUM(S280)</f>
        <v>0</v>
      </c>
      <c r="T281" s="49">
        <f t="shared" si="154"/>
        <v>0</v>
      </c>
      <c r="U281" s="48">
        <f>SUM(U280)</f>
        <v>0</v>
      </c>
      <c r="V281" s="49">
        <f t="shared" si="155"/>
        <v>0</v>
      </c>
      <c r="W281" s="48">
        <f>SUM(W280)</f>
        <v>0</v>
      </c>
      <c r="X281" s="49">
        <f t="shared" si="156"/>
        <v>0</v>
      </c>
      <c r="Y281" s="48">
        <f>SUM(Y280)</f>
        <v>3000</v>
      </c>
      <c r="Z281" s="48">
        <f>SUM(Z280)</f>
        <v>3000</v>
      </c>
    </row>
    <row r="282" spans="1:26" ht="13.9" customHeight="1" x14ac:dyDescent="0.25">
      <c r="A282" s="15">
        <v>5</v>
      </c>
      <c r="B282" s="15">
        <v>1</v>
      </c>
      <c r="C282" s="15">
        <v>1</v>
      </c>
      <c r="D282" s="122"/>
      <c r="E282" s="31"/>
      <c r="F282" s="27" t="s">
        <v>122</v>
      </c>
      <c r="G282" s="28">
        <f t="shared" ref="G282:Q282" si="160">G276+G279+G281</f>
        <v>9540.2099999999991</v>
      </c>
      <c r="H282" s="28">
        <f t="shared" si="160"/>
        <v>7109.82</v>
      </c>
      <c r="I282" s="28">
        <f t="shared" si="160"/>
        <v>7596</v>
      </c>
      <c r="J282" s="28">
        <f t="shared" si="160"/>
        <v>6928</v>
      </c>
      <c r="K282" s="28">
        <f t="shared" si="160"/>
        <v>7304</v>
      </c>
      <c r="L282" s="28">
        <f t="shared" si="160"/>
        <v>0</v>
      </c>
      <c r="M282" s="28">
        <f t="shared" si="160"/>
        <v>0</v>
      </c>
      <c r="N282" s="28">
        <f t="shared" si="160"/>
        <v>0</v>
      </c>
      <c r="O282" s="28">
        <f t="shared" si="160"/>
        <v>0</v>
      </c>
      <c r="P282" s="28">
        <f t="shared" si="160"/>
        <v>7304</v>
      </c>
      <c r="Q282" s="28">
        <f t="shared" si="160"/>
        <v>2660.66</v>
      </c>
      <c r="R282" s="29">
        <f t="shared" si="153"/>
        <v>0.3642743702081051</v>
      </c>
      <c r="S282" s="28">
        <f>S276+S279+S281</f>
        <v>0</v>
      </c>
      <c r="T282" s="29">
        <f t="shared" si="154"/>
        <v>0</v>
      </c>
      <c r="U282" s="28">
        <f>U276+U279+U281</f>
        <v>0</v>
      </c>
      <c r="V282" s="29">
        <f t="shared" si="155"/>
        <v>0</v>
      </c>
      <c r="W282" s="28">
        <f>W276+W279+W281</f>
        <v>0</v>
      </c>
      <c r="X282" s="29">
        <f t="shared" si="156"/>
        <v>0</v>
      </c>
      <c r="Y282" s="28">
        <f>Y276+Y279+Y281</f>
        <v>7304</v>
      </c>
      <c r="Z282" s="28">
        <f>Z276+Z279+Z281</f>
        <v>7304</v>
      </c>
    </row>
    <row r="284" spans="1:26" ht="13.9" customHeight="1" x14ac:dyDescent="0.25">
      <c r="E284" s="117" t="s">
        <v>55</v>
      </c>
      <c r="F284" s="128" t="s">
        <v>143</v>
      </c>
      <c r="G284" s="129">
        <v>1800.64</v>
      </c>
      <c r="H284" s="129">
        <v>651.55999999999995</v>
      </c>
      <c r="I284" s="129">
        <v>640</v>
      </c>
      <c r="J284" s="129">
        <v>775</v>
      </c>
      <c r="K284" s="129">
        <v>775</v>
      </c>
      <c r="L284" s="129"/>
      <c r="M284" s="129"/>
      <c r="N284" s="129"/>
      <c r="O284" s="129"/>
      <c r="P284" s="129">
        <f>K284+SUM(L284:O284)</f>
        <v>775</v>
      </c>
      <c r="Q284" s="129">
        <v>139.47</v>
      </c>
      <c r="R284" s="130">
        <f>IFERROR(Q284/$P284,0)</f>
        <v>0.17996129032258065</v>
      </c>
      <c r="S284" s="129"/>
      <c r="T284" s="130">
        <f>IFERROR(S284/$P284,0)</f>
        <v>0</v>
      </c>
      <c r="U284" s="129"/>
      <c r="V284" s="130">
        <f>IFERROR(U284/$P284,0)</f>
        <v>0</v>
      </c>
      <c r="W284" s="129"/>
      <c r="X284" s="131">
        <f>IFERROR(W284/$P284,0)</f>
        <v>0</v>
      </c>
      <c r="Y284" s="129">
        <f>K284</f>
        <v>775</v>
      </c>
      <c r="Z284" s="132">
        <f>Y284</f>
        <v>775</v>
      </c>
    </row>
    <row r="286" spans="1:26" ht="13.9" customHeight="1" x14ac:dyDescent="0.25">
      <c r="D286" s="72" t="s">
        <v>197</v>
      </c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3"/>
      <c r="S286" s="72"/>
      <c r="T286" s="73"/>
      <c r="U286" s="72"/>
      <c r="V286" s="73"/>
      <c r="W286" s="72"/>
      <c r="X286" s="73"/>
      <c r="Y286" s="72"/>
      <c r="Z286" s="72"/>
    </row>
    <row r="287" spans="1:26" ht="13.9" customHeight="1" x14ac:dyDescent="0.25">
      <c r="D287" s="21" t="s">
        <v>32</v>
      </c>
      <c r="E287" s="21" t="s">
        <v>33</v>
      </c>
      <c r="F287" s="21" t="s">
        <v>34</v>
      </c>
      <c r="G287" s="21" t="s">
        <v>1</v>
      </c>
      <c r="H287" s="21" t="s">
        <v>2</v>
      </c>
      <c r="I287" s="21" t="s">
        <v>3</v>
      </c>
      <c r="J287" s="21" t="s">
        <v>4</v>
      </c>
      <c r="K287" s="21" t="s">
        <v>5</v>
      </c>
      <c r="L287" s="21" t="s">
        <v>6</v>
      </c>
      <c r="M287" s="21" t="s">
        <v>7</v>
      </c>
      <c r="N287" s="21" t="s">
        <v>8</v>
      </c>
      <c r="O287" s="21" t="s">
        <v>9</v>
      </c>
      <c r="P287" s="21" t="s">
        <v>10</v>
      </c>
      <c r="Q287" s="21" t="s">
        <v>11</v>
      </c>
      <c r="R287" s="22" t="s">
        <v>12</v>
      </c>
      <c r="S287" s="21" t="s">
        <v>13</v>
      </c>
      <c r="T287" s="22" t="s">
        <v>14</v>
      </c>
      <c r="U287" s="21" t="s">
        <v>15</v>
      </c>
      <c r="V287" s="22" t="s">
        <v>16</v>
      </c>
      <c r="W287" s="21" t="s">
        <v>17</v>
      </c>
      <c r="X287" s="22" t="s">
        <v>18</v>
      </c>
      <c r="Y287" s="21" t="s">
        <v>19</v>
      </c>
      <c r="Z287" s="21" t="s">
        <v>20</v>
      </c>
    </row>
    <row r="288" spans="1:26" ht="13.9" customHeight="1" x14ac:dyDescent="0.25">
      <c r="A288" s="15">
        <v>5</v>
      </c>
      <c r="B288" s="15">
        <v>1</v>
      </c>
      <c r="C288" s="15">
        <v>2</v>
      </c>
      <c r="D288" s="10" t="s">
        <v>198</v>
      </c>
      <c r="E288" s="24">
        <v>610</v>
      </c>
      <c r="F288" s="24" t="s">
        <v>127</v>
      </c>
      <c r="G288" s="25">
        <v>250.43</v>
      </c>
      <c r="H288" s="25">
        <v>266.33</v>
      </c>
      <c r="I288" s="25">
        <v>231</v>
      </c>
      <c r="J288" s="25">
        <v>231</v>
      </c>
      <c r="K288" s="25">
        <v>231</v>
      </c>
      <c r="L288" s="25"/>
      <c r="M288" s="25"/>
      <c r="N288" s="25"/>
      <c r="O288" s="25"/>
      <c r="P288" s="25">
        <f>K288+SUM(L288:O288)</f>
        <v>231</v>
      </c>
      <c r="Q288" s="25">
        <v>0</v>
      </c>
      <c r="R288" s="26">
        <f t="shared" ref="R288:R294" si="161">IFERROR(Q288/$P288,0)</f>
        <v>0</v>
      </c>
      <c r="S288" s="25"/>
      <c r="T288" s="26">
        <f t="shared" ref="T288:T294" si="162">IFERROR(S288/$P288,0)</f>
        <v>0</v>
      </c>
      <c r="U288" s="25"/>
      <c r="V288" s="26">
        <f t="shared" ref="V288:V294" si="163">IFERROR(U288/$P288,0)</f>
        <v>0</v>
      </c>
      <c r="W288" s="25"/>
      <c r="X288" s="26">
        <f t="shared" ref="X288:X294" si="164">IFERROR(W288/$P288,0)</f>
        <v>0</v>
      </c>
      <c r="Y288" s="25">
        <f>K288</f>
        <v>231</v>
      </c>
      <c r="Z288" s="25">
        <f>Y288</f>
        <v>231</v>
      </c>
    </row>
    <row r="289" spans="1:26" ht="13.9" customHeight="1" x14ac:dyDescent="0.25">
      <c r="A289" s="15">
        <v>5</v>
      </c>
      <c r="B289" s="15">
        <v>1</v>
      </c>
      <c r="C289" s="15">
        <v>2</v>
      </c>
      <c r="D289" s="10" t="s">
        <v>198</v>
      </c>
      <c r="E289" s="24">
        <v>620</v>
      </c>
      <c r="F289" s="24" t="s">
        <v>128</v>
      </c>
      <c r="G289" s="25">
        <v>87.5</v>
      </c>
      <c r="H289" s="25">
        <v>95.71</v>
      </c>
      <c r="I289" s="25">
        <v>81</v>
      </c>
      <c r="J289" s="25">
        <v>81</v>
      </c>
      <c r="K289" s="25">
        <v>81</v>
      </c>
      <c r="L289" s="25"/>
      <c r="M289" s="25"/>
      <c r="N289" s="25"/>
      <c r="O289" s="25"/>
      <c r="P289" s="25">
        <f>K289+SUM(L289:O289)</f>
        <v>81</v>
      </c>
      <c r="Q289" s="25">
        <v>0</v>
      </c>
      <c r="R289" s="26">
        <f t="shared" si="161"/>
        <v>0</v>
      </c>
      <c r="S289" s="25"/>
      <c r="T289" s="26">
        <f t="shared" si="162"/>
        <v>0</v>
      </c>
      <c r="U289" s="25"/>
      <c r="V289" s="26">
        <f t="shared" si="163"/>
        <v>0</v>
      </c>
      <c r="W289" s="25"/>
      <c r="X289" s="26">
        <f t="shared" si="164"/>
        <v>0</v>
      </c>
      <c r="Y289" s="25">
        <f>K289</f>
        <v>81</v>
      </c>
      <c r="Z289" s="25">
        <f>Y289</f>
        <v>81</v>
      </c>
    </row>
    <row r="290" spans="1:26" ht="13.9" hidden="1" customHeight="1" x14ac:dyDescent="0.25">
      <c r="A290" s="15">
        <v>5</v>
      </c>
      <c r="B290" s="15">
        <v>1</v>
      </c>
      <c r="C290" s="15">
        <v>2</v>
      </c>
      <c r="D290" s="10" t="s">
        <v>198</v>
      </c>
      <c r="E290" s="24">
        <v>630</v>
      </c>
      <c r="F290" s="24" t="s">
        <v>129</v>
      </c>
      <c r="G290" s="25">
        <v>965.89</v>
      </c>
      <c r="H290" s="25">
        <v>0</v>
      </c>
      <c r="I290" s="25">
        <v>0</v>
      </c>
      <c r="J290" s="25">
        <v>0</v>
      </c>
      <c r="K290" s="25">
        <v>0</v>
      </c>
      <c r="L290" s="25"/>
      <c r="M290" s="25"/>
      <c r="N290" s="25"/>
      <c r="O290" s="25"/>
      <c r="P290" s="25">
        <f>K290+SUM(L290:O290)</f>
        <v>0</v>
      </c>
      <c r="Q290" s="25">
        <v>0</v>
      </c>
      <c r="R290" s="26">
        <f t="shared" si="161"/>
        <v>0</v>
      </c>
      <c r="S290" s="25"/>
      <c r="T290" s="26">
        <f t="shared" si="162"/>
        <v>0</v>
      </c>
      <c r="U290" s="25"/>
      <c r="V290" s="26">
        <f t="shared" si="163"/>
        <v>0</v>
      </c>
      <c r="W290" s="25"/>
      <c r="X290" s="26">
        <f t="shared" si="164"/>
        <v>0</v>
      </c>
      <c r="Y290" s="25">
        <f>K290</f>
        <v>0</v>
      </c>
      <c r="Z290" s="25">
        <f>Y290</f>
        <v>0</v>
      </c>
    </row>
    <row r="291" spans="1:26" ht="13.9" customHeight="1" x14ac:dyDescent="0.25">
      <c r="A291" s="15">
        <v>5</v>
      </c>
      <c r="B291" s="15">
        <v>1</v>
      </c>
      <c r="C291" s="15">
        <v>2</v>
      </c>
      <c r="D291" s="79" t="s">
        <v>21</v>
      </c>
      <c r="E291" s="47">
        <v>111</v>
      </c>
      <c r="F291" s="47" t="s">
        <v>132</v>
      </c>
      <c r="G291" s="48">
        <f t="shared" ref="G291:Q291" si="165">SUM(G288:G290)</f>
        <v>1303.82</v>
      </c>
      <c r="H291" s="48">
        <f t="shared" si="165"/>
        <v>362.03999999999996</v>
      </c>
      <c r="I291" s="48">
        <f t="shared" si="165"/>
        <v>312</v>
      </c>
      <c r="J291" s="48">
        <f t="shared" si="165"/>
        <v>312</v>
      </c>
      <c r="K291" s="48">
        <f t="shared" si="165"/>
        <v>312</v>
      </c>
      <c r="L291" s="48">
        <f t="shared" si="165"/>
        <v>0</v>
      </c>
      <c r="M291" s="48">
        <f t="shared" si="165"/>
        <v>0</v>
      </c>
      <c r="N291" s="48">
        <f t="shared" si="165"/>
        <v>0</v>
      </c>
      <c r="O291" s="48">
        <f t="shared" si="165"/>
        <v>0</v>
      </c>
      <c r="P291" s="48">
        <f t="shared" si="165"/>
        <v>312</v>
      </c>
      <c r="Q291" s="48">
        <f t="shared" si="165"/>
        <v>0</v>
      </c>
      <c r="R291" s="49">
        <f t="shared" si="161"/>
        <v>0</v>
      </c>
      <c r="S291" s="48">
        <f>SUM(S288:S290)</f>
        <v>0</v>
      </c>
      <c r="T291" s="49">
        <f t="shared" si="162"/>
        <v>0</v>
      </c>
      <c r="U291" s="48">
        <f>SUM(U288:U290)</f>
        <v>0</v>
      </c>
      <c r="V291" s="49">
        <f t="shared" si="163"/>
        <v>0</v>
      </c>
      <c r="W291" s="48">
        <f>SUM(W288:W290)</f>
        <v>0</v>
      </c>
      <c r="X291" s="49">
        <f t="shared" si="164"/>
        <v>0</v>
      </c>
      <c r="Y291" s="48">
        <f>SUM(Y288:Y290)</f>
        <v>312</v>
      </c>
      <c r="Z291" s="48">
        <f>SUM(Z288:Z290)</f>
        <v>312</v>
      </c>
    </row>
    <row r="292" spans="1:26" ht="13.9" hidden="1" customHeight="1" x14ac:dyDescent="0.25">
      <c r="A292" s="15">
        <v>5</v>
      </c>
      <c r="B292" s="15">
        <v>1</v>
      </c>
      <c r="C292" s="15">
        <v>2</v>
      </c>
      <c r="D292" s="84" t="s">
        <v>198</v>
      </c>
      <c r="E292" s="24">
        <v>630</v>
      </c>
      <c r="F292" s="24" t="s">
        <v>129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/>
      <c r="M292" s="25"/>
      <c r="N292" s="25"/>
      <c r="O292" s="25"/>
      <c r="P292" s="25">
        <f>K292+SUM(L292:O292)</f>
        <v>0</v>
      </c>
      <c r="Q292" s="25">
        <v>0</v>
      </c>
      <c r="R292" s="26">
        <f t="shared" si="161"/>
        <v>0</v>
      </c>
      <c r="S292" s="25"/>
      <c r="T292" s="26">
        <f t="shared" si="162"/>
        <v>0</v>
      </c>
      <c r="U292" s="25"/>
      <c r="V292" s="26">
        <f t="shared" si="163"/>
        <v>0</v>
      </c>
      <c r="W292" s="25"/>
      <c r="X292" s="26">
        <f t="shared" si="164"/>
        <v>0</v>
      </c>
      <c r="Y292" s="25">
        <v>0</v>
      </c>
      <c r="Z292" s="25">
        <f>Y292</f>
        <v>0</v>
      </c>
    </row>
    <row r="293" spans="1:26" ht="13.9" hidden="1" customHeight="1" x14ac:dyDescent="0.25">
      <c r="A293" s="15">
        <v>5</v>
      </c>
      <c r="B293" s="15">
        <v>1</v>
      </c>
      <c r="C293" s="15">
        <v>2</v>
      </c>
      <c r="D293" s="79" t="s">
        <v>21</v>
      </c>
      <c r="E293" s="47">
        <v>41</v>
      </c>
      <c r="F293" s="47" t="s">
        <v>23</v>
      </c>
      <c r="G293" s="48">
        <f t="shared" ref="G293:Q293" si="166">SUM(G292)</f>
        <v>0</v>
      </c>
      <c r="H293" s="48">
        <f t="shared" si="166"/>
        <v>0</v>
      </c>
      <c r="I293" s="48">
        <f t="shared" si="166"/>
        <v>0</v>
      </c>
      <c r="J293" s="48">
        <f t="shared" si="166"/>
        <v>0</v>
      </c>
      <c r="K293" s="48">
        <f t="shared" si="166"/>
        <v>0</v>
      </c>
      <c r="L293" s="48">
        <f t="shared" si="166"/>
        <v>0</v>
      </c>
      <c r="M293" s="48">
        <f t="shared" si="166"/>
        <v>0</v>
      </c>
      <c r="N293" s="48">
        <f t="shared" si="166"/>
        <v>0</v>
      </c>
      <c r="O293" s="48">
        <f t="shared" si="166"/>
        <v>0</v>
      </c>
      <c r="P293" s="48">
        <f t="shared" si="166"/>
        <v>0</v>
      </c>
      <c r="Q293" s="48">
        <f t="shared" si="166"/>
        <v>0</v>
      </c>
      <c r="R293" s="49">
        <f t="shared" si="161"/>
        <v>0</v>
      </c>
      <c r="S293" s="48">
        <f>SUM(S292)</f>
        <v>0</v>
      </c>
      <c r="T293" s="49">
        <f t="shared" si="162"/>
        <v>0</v>
      </c>
      <c r="U293" s="48">
        <f>SUM(U292)</f>
        <v>0</v>
      </c>
      <c r="V293" s="49">
        <f t="shared" si="163"/>
        <v>0</v>
      </c>
      <c r="W293" s="48">
        <f>SUM(W292)</f>
        <v>0</v>
      </c>
      <c r="X293" s="49">
        <f t="shared" si="164"/>
        <v>0</v>
      </c>
      <c r="Y293" s="48">
        <f>SUM(Y292)</f>
        <v>0</v>
      </c>
      <c r="Z293" s="48">
        <f>SUM(Z292)</f>
        <v>0</v>
      </c>
    </row>
    <row r="294" spans="1:26" ht="13.9" customHeight="1" x14ac:dyDescent="0.25">
      <c r="A294" s="15">
        <v>5</v>
      </c>
      <c r="B294" s="15">
        <v>1</v>
      </c>
      <c r="C294" s="15">
        <v>2</v>
      </c>
      <c r="D294" s="30"/>
      <c r="E294" s="31"/>
      <c r="F294" s="27" t="s">
        <v>122</v>
      </c>
      <c r="G294" s="28">
        <f t="shared" ref="G294:Q294" si="167">G291+G293</f>
        <v>1303.82</v>
      </c>
      <c r="H294" s="28">
        <f t="shared" si="167"/>
        <v>362.03999999999996</v>
      </c>
      <c r="I294" s="28">
        <f t="shared" si="167"/>
        <v>312</v>
      </c>
      <c r="J294" s="28">
        <f t="shared" si="167"/>
        <v>312</v>
      </c>
      <c r="K294" s="28">
        <f t="shared" si="167"/>
        <v>312</v>
      </c>
      <c r="L294" s="28">
        <f t="shared" si="167"/>
        <v>0</v>
      </c>
      <c r="M294" s="28">
        <f t="shared" si="167"/>
        <v>0</v>
      </c>
      <c r="N294" s="28">
        <f t="shared" si="167"/>
        <v>0</v>
      </c>
      <c r="O294" s="28">
        <f t="shared" si="167"/>
        <v>0</v>
      </c>
      <c r="P294" s="28">
        <f t="shared" si="167"/>
        <v>312</v>
      </c>
      <c r="Q294" s="28">
        <f t="shared" si="167"/>
        <v>0</v>
      </c>
      <c r="R294" s="29">
        <f t="shared" si="161"/>
        <v>0</v>
      </c>
      <c r="S294" s="28">
        <f>S291+S293</f>
        <v>0</v>
      </c>
      <c r="T294" s="29">
        <f t="shared" si="162"/>
        <v>0</v>
      </c>
      <c r="U294" s="28">
        <f>U291+U293</f>
        <v>0</v>
      </c>
      <c r="V294" s="29">
        <f t="shared" si="163"/>
        <v>0</v>
      </c>
      <c r="W294" s="28">
        <f>W291+W293</f>
        <v>0</v>
      </c>
      <c r="X294" s="29">
        <f t="shared" si="164"/>
        <v>0</v>
      </c>
      <c r="Y294" s="28">
        <f>Y291+Y293</f>
        <v>312</v>
      </c>
      <c r="Z294" s="28">
        <f>Z291+Z293</f>
        <v>312</v>
      </c>
    </row>
    <row r="296" spans="1:26" ht="13.9" customHeight="1" x14ac:dyDescent="0.25">
      <c r="D296" s="72" t="s">
        <v>199</v>
      </c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3"/>
      <c r="S296" s="72"/>
      <c r="T296" s="73"/>
      <c r="U296" s="72"/>
      <c r="V296" s="73"/>
      <c r="W296" s="72"/>
      <c r="X296" s="73"/>
      <c r="Y296" s="72"/>
      <c r="Z296" s="72"/>
    </row>
    <row r="297" spans="1:26" ht="13.9" customHeight="1" x14ac:dyDescent="0.25">
      <c r="D297" s="21" t="s">
        <v>32</v>
      </c>
      <c r="E297" s="21" t="s">
        <v>33</v>
      </c>
      <c r="F297" s="21" t="s">
        <v>34</v>
      </c>
      <c r="G297" s="21" t="s">
        <v>1</v>
      </c>
      <c r="H297" s="21" t="s">
        <v>2</v>
      </c>
      <c r="I297" s="21" t="s">
        <v>3</v>
      </c>
      <c r="J297" s="21" t="s">
        <v>4</v>
      </c>
      <c r="K297" s="21" t="s">
        <v>5</v>
      </c>
      <c r="L297" s="21" t="s">
        <v>6</v>
      </c>
      <c r="M297" s="21" t="s">
        <v>7</v>
      </c>
      <c r="N297" s="21" t="s">
        <v>8</v>
      </c>
      <c r="O297" s="21" t="s">
        <v>9</v>
      </c>
      <c r="P297" s="21" t="s">
        <v>10</v>
      </c>
      <c r="Q297" s="21" t="s">
        <v>11</v>
      </c>
      <c r="R297" s="22" t="s">
        <v>12</v>
      </c>
      <c r="S297" s="21" t="s">
        <v>13</v>
      </c>
      <c r="T297" s="22" t="s">
        <v>14</v>
      </c>
      <c r="U297" s="21" t="s">
        <v>15</v>
      </c>
      <c r="V297" s="22" t="s">
        <v>16</v>
      </c>
      <c r="W297" s="21" t="s">
        <v>17</v>
      </c>
      <c r="X297" s="22" t="s">
        <v>18</v>
      </c>
      <c r="Y297" s="21" t="s">
        <v>19</v>
      </c>
      <c r="Z297" s="21" t="s">
        <v>20</v>
      </c>
    </row>
    <row r="298" spans="1:26" ht="13.9" hidden="1" customHeight="1" x14ac:dyDescent="0.25">
      <c r="A298" s="15">
        <v>5</v>
      </c>
      <c r="B298" s="15">
        <v>1</v>
      </c>
      <c r="C298" s="15">
        <v>3</v>
      </c>
      <c r="D298" s="50" t="s">
        <v>200</v>
      </c>
      <c r="E298" s="24">
        <v>630</v>
      </c>
      <c r="F298" s="24" t="s">
        <v>129</v>
      </c>
      <c r="G298" s="45">
        <v>20625.84</v>
      </c>
      <c r="H298" s="45">
        <v>11060.13</v>
      </c>
      <c r="I298" s="25">
        <v>0</v>
      </c>
      <c r="J298" s="25">
        <v>0</v>
      </c>
      <c r="K298" s="25">
        <v>0</v>
      </c>
      <c r="L298" s="25"/>
      <c r="M298" s="25"/>
      <c r="N298" s="25"/>
      <c r="O298" s="25"/>
      <c r="P298" s="45">
        <f>K298+SUM(L298:O298)</f>
        <v>0</v>
      </c>
      <c r="Q298" s="45"/>
      <c r="R298" s="46">
        <f t="shared" ref="R298:R303" si="168">IFERROR(Q298/$P298,0)</f>
        <v>0</v>
      </c>
      <c r="S298" s="45"/>
      <c r="T298" s="46">
        <f t="shared" ref="T298:T303" si="169">IFERROR(S298/$P298,0)</f>
        <v>0</v>
      </c>
      <c r="U298" s="45"/>
      <c r="V298" s="46">
        <f t="shared" ref="V298:V303" si="170">IFERROR(U298/$P298,0)</f>
        <v>0</v>
      </c>
      <c r="W298" s="45"/>
      <c r="X298" s="46">
        <f t="shared" ref="X298:X303" si="171">IFERROR(W298/$P298,0)</f>
        <v>0</v>
      </c>
      <c r="Y298" s="25">
        <v>0</v>
      </c>
      <c r="Z298" s="25">
        <v>0</v>
      </c>
    </row>
    <row r="299" spans="1:26" ht="13.9" hidden="1" customHeight="1" x14ac:dyDescent="0.25">
      <c r="A299" s="15">
        <v>5</v>
      </c>
      <c r="B299" s="15">
        <v>1</v>
      </c>
      <c r="C299" s="15">
        <v>3</v>
      </c>
      <c r="D299" s="79" t="s">
        <v>21</v>
      </c>
      <c r="E299" s="47">
        <v>111</v>
      </c>
      <c r="F299" s="47" t="s">
        <v>45</v>
      </c>
      <c r="G299" s="48">
        <f t="shared" ref="G299:Q299" si="172">SUM(G298)</f>
        <v>20625.84</v>
      </c>
      <c r="H299" s="48">
        <f t="shared" si="172"/>
        <v>11060.13</v>
      </c>
      <c r="I299" s="48">
        <f t="shared" si="172"/>
        <v>0</v>
      </c>
      <c r="J299" s="48">
        <f t="shared" si="172"/>
        <v>0</v>
      </c>
      <c r="K299" s="48">
        <f t="shared" si="172"/>
        <v>0</v>
      </c>
      <c r="L299" s="48">
        <f t="shared" si="172"/>
        <v>0</v>
      </c>
      <c r="M299" s="48">
        <f t="shared" si="172"/>
        <v>0</v>
      </c>
      <c r="N299" s="48">
        <f t="shared" si="172"/>
        <v>0</v>
      </c>
      <c r="O299" s="48">
        <f t="shared" si="172"/>
        <v>0</v>
      </c>
      <c r="P299" s="48">
        <f t="shared" si="172"/>
        <v>0</v>
      </c>
      <c r="Q299" s="48">
        <f t="shared" si="172"/>
        <v>0</v>
      </c>
      <c r="R299" s="49">
        <f t="shared" si="168"/>
        <v>0</v>
      </c>
      <c r="S299" s="48">
        <f>SUM(S298)</f>
        <v>0</v>
      </c>
      <c r="T299" s="49">
        <f t="shared" si="169"/>
        <v>0</v>
      </c>
      <c r="U299" s="48">
        <f>SUM(U298)</f>
        <v>0</v>
      </c>
      <c r="V299" s="49">
        <f t="shared" si="170"/>
        <v>0</v>
      </c>
      <c r="W299" s="48">
        <f>SUM(W298)</f>
        <v>0</v>
      </c>
      <c r="X299" s="49">
        <f t="shared" si="171"/>
        <v>0</v>
      </c>
      <c r="Y299" s="48">
        <f>SUM(Y298)</f>
        <v>0</v>
      </c>
      <c r="Z299" s="48">
        <f>SUM(Z298)</f>
        <v>0</v>
      </c>
    </row>
    <row r="300" spans="1:26" ht="13.9" customHeight="1" x14ac:dyDescent="0.25">
      <c r="A300" s="15">
        <v>5</v>
      </c>
      <c r="B300" s="15">
        <v>1</v>
      </c>
      <c r="C300" s="15">
        <v>3</v>
      </c>
      <c r="D300" s="3" t="s">
        <v>200</v>
      </c>
      <c r="E300" s="24">
        <v>620</v>
      </c>
      <c r="F300" s="24" t="s">
        <v>128</v>
      </c>
      <c r="G300" s="25">
        <v>284.52</v>
      </c>
      <c r="H300" s="25">
        <v>284.52</v>
      </c>
      <c r="I300" s="25">
        <v>285</v>
      </c>
      <c r="J300" s="25">
        <v>284</v>
      </c>
      <c r="K300" s="25">
        <v>284</v>
      </c>
      <c r="L300" s="25"/>
      <c r="M300" s="25"/>
      <c r="N300" s="25"/>
      <c r="O300" s="25"/>
      <c r="P300" s="25">
        <f>K300+SUM(L300:O300)</f>
        <v>284</v>
      </c>
      <c r="Q300" s="25">
        <v>71.13</v>
      </c>
      <c r="R300" s="26">
        <f t="shared" si="168"/>
        <v>0.2504577464788732</v>
      </c>
      <c r="S300" s="25"/>
      <c r="T300" s="26">
        <f t="shared" si="169"/>
        <v>0</v>
      </c>
      <c r="U300" s="25"/>
      <c r="V300" s="26">
        <f t="shared" si="170"/>
        <v>0</v>
      </c>
      <c r="W300" s="25"/>
      <c r="X300" s="26">
        <f t="shared" si="171"/>
        <v>0</v>
      </c>
      <c r="Y300" s="25">
        <f>K300</f>
        <v>284</v>
      </c>
      <c r="Z300" s="25">
        <f>Y300</f>
        <v>284</v>
      </c>
    </row>
    <row r="301" spans="1:26" ht="13.9" customHeight="1" x14ac:dyDescent="0.25">
      <c r="A301" s="15">
        <v>5</v>
      </c>
      <c r="B301" s="15">
        <v>1</v>
      </c>
      <c r="C301" s="15">
        <v>3</v>
      </c>
      <c r="D301" s="3"/>
      <c r="E301" s="24">
        <v>630</v>
      </c>
      <c r="F301" s="24" t="s">
        <v>129</v>
      </c>
      <c r="G301" s="25">
        <v>8345.14</v>
      </c>
      <c r="H301" s="25">
        <v>6475.19</v>
      </c>
      <c r="I301" s="25">
        <v>14916</v>
      </c>
      <c r="J301" s="25">
        <v>16906</v>
      </c>
      <c r="K301" s="25">
        <v>17010</v>
      </c>
      <c r="L301" s="25"/>
      <c r="M301" s="25"/>
      <c r="N301" s="25"/>
      <c r="O301" s="25"/>
      <c r="P301" s="25">
        <f>K301+SUM(L301:O301)</f>
        <v>17010</v>
      </c>
      <c r="Q301" s="25">
        <v>4336.76</v>
      </c>
      <c r="R301" s="26">
        <f t="shared" si="168"/>
        <v>0.25495355673133452</v>
      </c>
      <c r="S301" s="25"/>
      <c r="T301" s="26">
        <f t="shared" si="169"/>
        <v>0</v>
      </c>
      <c r="U301" s="25"/>
      <c r="V301" s="26">
        <f t="shared" si="170"/>
        <v>0</v>
      </c>
      <c r="W301" s="25"/>
      <c r="X301" s="26">
        <f t="shared" si="171"/>
        <v>0</v>
      </c>
      <c r="Y301" s="25">
        <f>K301</f>
        <v>17010</v>
      </c>
      <c r="Z301" s="25">
        <f>Y301</f>
        <v>17010</v>
      </c>
    </row>
    <row r="302" spans="1:26" ht="13.9" customHeight="1" x14ac:dyDescent="0.25">
      <c r="A302" s="15">
        <v>5</v>
      </c>
      <c r="B302" s="15">
        <v>1</v>
      </c>
      <c r="C302" s="15">
        <v>3</v>
      </c>
      <c r="D302" s="79" t="s">
        <v>21</v>
      </c>
      <c r="E302" s="47">
        <v>41</v>
      </c>
      <c r="F302" s="47" t="s">
        <v>23</v>
      </c>
      <c r="G302" s="48">
        <f t="shared" ref="G302:Q302" si="173">SUM(G300:G301)</f>
        <v>8629.66</v>
      </c>
      <c r="H302" s="48">
        <f t="shared" si="173"/>
        <v>6759.7099999999991</v>
      </c>
      <c r="I302" s="48">
        <f t="shared" si="173"/>
        <v>15201</v>
      </c>
      <c r="J302" s="48">
        <f t="shared" si="173"/>
        <v>17190</v>
      </c>
      <c r="K302" s="48">
        <f t="shared" si="173"/>
        <v>17294</v>
      </c>
      <c r="L302" s="48">
        <f t="shared" si="173"/>
        <v>0</v>
      </c>
      <c r="M302" s="48">
        <f t="shared" si="173"/>
        <v>0</v>
      </c>
      <c r="N302" s="48">
        <f t="shared" si="173"/>
        <v>0</v>
      </c>
      <c r="O302" s="48">
        <f t="shared" si="173"/>
        <v>0</v>
      </c>
      <c r="P302" s="48">
        <f t="shared" si="173"/>
        <v>17294</v>
      </c>
      <c r="Q302" s="48">
        <f t="shared" si="173"/>
        <v>4407.8900000000003</v>
      </c>
      <c r="R302" s="49">
        <f t="shared" si="168"/>
        <v>0.25487972707297329</v>
      </c>
      <c r="S302" s="48">
        <f>SUM(S300:S301)</f>
        <v>0</v>
      </c>
      <c r="T302" s="49">
        <f t="shared" si="169"/>
        <v>0</v>
      </c>
      <c r="U302" s="48">
        <f>SUM(U300:U301)</f>
        <v>0</v>
      </c>
      <c r="V302" s="49">
        <f t="shared" si="170"/>
        <v>0</v>
      </c>
      <c r="W302" s="48">
        <f>SUM(W300:W301)</f>
        <v>0</v>
      </c>
      <c r="X302" s="49">
        <f t="shared" si="171"/>
        <v>0</v>
      </c>
      <c r="Y302" s="48">
        <f>SUM(Y300:Y301)</f>
        <v>17294</v>
      </c>
      <c r="Z302" s="48">
        <f>SUM(Z300:Z301)</f>
        <v>17294</v>
      </c>
    </row>
    <row r="303" spans="1:26" ht="13.9" customHeight="1" x14ac:dyDescent="0.25">
      <c r="A303" s="15">
        <v>5</v>
      </c>
      <c r="B303" s="15">
        <v>1</v>
      </c>
      <c r="C303" s="15">
        <v>3</v>
      </c>
      <c r="D303" s="86"/>
      <c r="E303" s="87"/>
      <c r="F303" s="27" t="s">
        <v>122</v>
      </c>
      <c r="G303" s="28">
        <f t="shared" ref="G303:Q303" si="174">G299+G302</f>
        <v>29255.5</v>
      </c>
      <c r="H303" s="28">
        <f t="shared" si="174"/>
        <v>17819.839999999997</v>
      </c>
      <c r="I303" s="28">
        <f t="shared" si="174"/>
        <v>15201</v>
      </c>
      <c r="J303" s="28">
        <f t="shared" si="174"/>
        <v>17190</v>
      </c>
      <c r="K303" s="28">
        <f t="shared" si="174"/>
        <v>17294</v>
      </c>
      <c r="L303" s="28">
        <f t="shared" si="174"/>
        <v>0</v>
      </c>
      <c r="M303" s="28">
        <f t="shared" si="174"/>
        <v>0</v>
      </c>
      <c r="N303" s="28">
        <f t="shared" si="174"/>
        <v>0</v>
      </c>
      <c r="O303" s="28">
        <f t="shared" si="174"/>
        <v>0</v>
      </c>
      <c r="P303" s="28">
        <f t="shared" si="174"/>
        <v>17294</v>
      </c>
      <c r="Q303" s="28">
        <f t="shared" si="174"/>
        <v>4407.8900000000003</v>
      </c>
      <c r="R303" s="29">
        <f t="shared" si="168"/>
        <v>0.25487972707297329</v>
      </c>
      <c r="S303" s="28">
        <f>S299+S302</f>
        <v>0</v>
      </c>
      <c r="T303" s="29">
        <f t="shared" si="169"/>
        <v>0</v>
      </c>
      <c r="U303" s="28">
        <f>U299+U302</f>
        <v>0</v>
      </c>
      <c r="V303" s="29">
        <f t="shared" si="170"/>
        <v>0</v>
      </c>
      <c r="W303" s="28">
        <f>W299+W302</f>
        <v>0</v>
      </c>
      <c r="X303" s="29">
        <f t="shared" si="171"/>
        <v>0</v>
      </c>
      <c r="Y303" s="28">
        <f>Y299+Y302</f>
        <v>17294</v>
      </c>
      <c r="Z303" s="28">
        <f>Z299+Z302</f>
        <v>17294</v>
      </c>
    </row>
    <row r="305" spans="1:26" ht="13.9" customHeight="1" x14ac:dyDescent="0.25">
      <c r="E305" s="51" t="s">
        <v>55</v>
      </c>
      <c r="F305" s="30" t="s">
        <v>143</v>
      </c>
      <c r="G305" s="52">
        <v>24806.18</v>
      </c>
      <c r="H305" s="52">
        <v>11060.13</v>
      </c>
      <c r="I305" s="52">
        <v>10570</v>
      </c>
      <c r="J305" s="52">
        <v>12960</v>
      </c>
      <c r="K305" s="52">
        <v>12960</v>
      </c>
      <c r="L305" s="52"/>
      <c r="M305" s="52"/>
      <c r="N305" s="52"/>
      <c r="O305" s="52"/>
      <c r="P305" s="52">
        <f>K305+SUM(L305:O305)</f>
        <v>12960</v>
      </c>
      <c r="Q305" s="52">
        <v>3397.28</v>
      </c>
      <c r="R305" s="53">
        <f>IFERROR(Q305/$P305,0)</f>
        <v>0.26213580246913581</v>
      </c>
      <c r="S305" s="52"/>
      <c r="T305" s="53">
        <f>IFERROR(S305/$P305,0)</f>
        <v>0</v>
      </c>
      <c r="U305" s="52"/>
      <c r="V305" s="53">
        <f>IFERROR(U305/$P305,0)</f>
        <v>0</v>
      </c>
      <c r="W305" s="52"/>
      <c r="X305" s="54">
        <f>IFERROR(W305/$P305,0)</f>
        <v>0</v>
      </c>
      <c r="Y305" s="52">
        <f>K305</f>
        <v>12960</v>
      </c>
      <c r="Z305" s="55">
        <f>Y305</f>
        <v>12960</v>
      </c>
    </row>
    <row r="306" spans="1:26" ht="13.9" customHeight="1" x14ac:dyDescent="0.25">
      <c r="E306" s="64"/>
      <c r="F306" s="97" t="s">
        <v>201</v>
      </c>
      <c r="G306" s="66">
        <v>4042.44</v>
      </c>
      <c r="H306" s="66">
        <v>4042.44</v>
      </c>
      <c r="I306" s="66">
        <v>4043</v>
      </c>
      <c r="J306" s="66">
        <v>4042</v>
      </c>
      <c r="K306" s="66">
        <v>4042</v>
      </c>
      <c r="L306" s="66"/>
      <c r="M306" s="66"/>
      <c r="N306" s="66"/>
      <c r="O306" s="66"/>
      <c r="P306" s="66">
        <f>K306+SUM(L306:O306)</f>
        <v>4042</v>
      </c>
      <c r="Q306" s="66">
        <v>1010.61</v>
      </c>
      <c r="R306" s="67">
        <f>IFERROR(Q306/$P306,0)</f>
        <v>0.25002721425037111</v>
      </c>
      <c r="S306" s="66"/>
      <c r="T306" s="67">
        <f>IFERROR(S306/$P306,0)</f>
        <v>0</v>
      </c>
      <c r="U306" s="66"/>
      <c r="V306" s="67">
        <f>IFERROR(U306/$P306,0)</f>
        <v>0</v>
      </c>
      <c r="W306" s="66"/>
      <c r="X306" s="68">
        <f>IFERROR(W306/$P306,0)</f>
        <v>0</v>
      </c>
      <c r="Y306" s="66">
        <f>K306</f>
        <v>4042</v>
      </c>
      <c r="Z306" s="69">
        <f>Y306</f>
        <v>4042</v>
      </c>
    </row>
    <row r="308" spans="1:26" ht="13.9" customHeight="1" x14ac:dyDescent="0.25">
      <c r="D308" s="72" t="s">
        <v>202</v>
      </c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3"/>
      <c r="S308" s="72"/>
      <c r="T308" s="73"/>
      <c r="U308" s="72"/>
      <c r="V308" s="73"/>
      <c r="W308" s="72"/>
      <c r="X308" s="73"/>
      <c r="Y308" s="72"/>
      <c r="Z308" s="72"/>
    </row>
    <row r="309" spans="1:26" ht="13.9" customHeight="1" x14ac:dyDescent="0.25">
      <c r="D309" s="21" t="s">
        <v>32</v>
      </c>
      <c r="E309" s="21" t="s">
        <v>33</v>
      </c>
      <c r="F309" s="21" t="s">
        <v>34</v>
      </c>
      <c r="G309" s="21" t="s">
        <v>1</v>
      </c>
      <c r="H309" s="21" t="s">
        <v>2</v>
      </c>
      <c r="I309" s="21" t="s">
        <v>3</v>
      </c>
      <c r="J309" s="21" t="s">
        <v>4</v>
      </c>
      <c r="K309" s="21" t="s">
        <v>5</v>
      </c>
      <c r="L309" s="21" t="s">
        <v>6</v>
      </c>
      <c r="M309" s="21" t="s">
        <v>7</v>
      </c>
      <c r="N309" s="21" t="s">
        <v>8</v>
      </c>
      <c r="O309" s="21" t="s">
        <v>9</v>
      </c>
      <c r="P309" s="21" t="s">
        <v>10</v>
      </c>
      <c r="Q309" s="21" t="s">
        <v>11</v>
      </c>
      <c r="R309" s="22" t="s">
        <v>12</v>
      </c>
      <c r="S309" s="21" t="s">
        <v>13</v>
      </c>
      <c r="T309" s="22" t="s">
        <v>14</v>
      </c>
      <c r="U309" s="21" t="s">
        <v>15</v>
      </c>
      <c r="V309" s="22" t="s">
        <v>16</v>
      </c>
      <c r="W309" s="21" t="s">
        <v>17</v>
      </c>
      <c r="X309" s="22" t="s">
        <v>18</v>
      </c>
      <c r="Y309" s="21" t="s">
        <v>19</v>
      </c>
      <c r="Z309" s="21" t="s">
        <v>20</v>
      </c>
    </row>
    <row r="310" spans="1:26" ht="13.9" customHeight="1" x14ac:dyDescent="0.25">
      <c r="A310" s="15">
        <v>5</v>
      </c>
      <c r="B310" s="15">
        <v>1</v>
      </c>
      <c r="C310" s="15">
        <v>4</v>
      </c>
      <c r="D310" s="84" t="s">
        <v>203</v>
      </c>
      <c r="E310" s="24">
        <v>630</v>
      </c>
      <c r="F310" s="24" t="s">
        <v>129</v>
      </c>
      <c r="G310" s="25">
        <v>772.72</v>
      </c>
      <c r="H310" s="25">
        <v>1975.22</v>
      </c>
      <c r="I310" s="25">
        <v>917</v>
      </c>
      <c r="J310" s="25">
        <v>1200</v>
      </c>
      <c r="K310" s="25">
        <v>925</v>
      </c>
      <c r="L310" s="25"/>
      <c r="M310" s="25"/>
      <c r="N310" s="25"/>
      <c r="O310" s="25"/>
      <c r="P310" s="25">
        <f>K310+SUM(L310:O310)</f>
        <v>925</v>
      </c>
      <c r="Q310" s="25">
        <v>360</v>
      </c>
      <c r="R310" s="26">
        <f>IFERROR(Q310/$P310,0)</f>
        <v>0.38918918918918921</v>
      </c>
      <c r="S310" s="25"/>
      <c r="T310" s="26">
        <f>IFERROR(S310/$P310,0)</f>
        <v>0</v>
      </c>
      <c r="U310" s="25"/>
      <c r="V310" s="26">
        <f>IFERROR(U310/$P310,0)</f>
        <v>0</v>
      </c>
      <c r="W310" s="25"/>
      <c r="X310" s="26">
        <f>IFERROR(W310/$P310,0)</f>
        <v>0</v>
      </c>
      <c r="Y310" s="25">
        <f>K310</f>
        <v>925</v>
      </c>
      <c r="Z310" s="25">
        <f>Y310</f>
        <v>925</v>
      </c>
    </row>
    <row r="311" spans="1:26" ht="13.9" customHeight="1" x14ac:dyDescent="0.25">
      <c r="A311" s="15">
        <v>5</v>
      </c>
      <c r="B311" s="15">
        <v>1</v>
      </c>
      <c r="C311" s="15">
        <v>4</v>
      </c>
      <c r="D311" s="79" t="s">
        <v>21</v>
      </c>
      <c r="E311" s="47">
        <v>41</v>
      </c>
      <c r="F311" s="47" t="s">
        <v>23</v>
      </c>
      <c r="G311" s="48">
        <f t="shared" ref="G311:Q311" si="175">SUM(G310)</f>
        <v>772.72</v>
      </c>
      <c r="H311" s="48">
        <f t="shared" si="175"/>
        <v>1975.22</v>
      </c>
      <c r="I311" s="48">
        <f t="shared" si="175"/>
        <v>917</v>
      </c>
      <c r="J311" s="48">
        <f t="shared" si="175"/>
        <v>1200</v>
      </c>
      <c r="K311" s="48">
        <f t="shared" si="175"/>
        <v>925</v>
      </c>
      <c r="L311" s="48">
        <f t="shared" si="175"/>
        <v>0</v>
      </c>
      <c r="M311" s="48">
        <f t="shared" si="175"/>
        <v>0</v>
      </c>
      <c r="N311" s="48">
        <f t="shared" si="175"/>
        <v>0</v>
      </c>
      <c r="O311" s="48">
        <f t="shared" si="175"/>
        <v>0</v>
      </c>
      <c r="P311" s="48">
        <f t="shared" si="175"/>
        <v>925</v>
      </c>
      <c r="Q311" s="48">
        <f t="shared" si="175"/>
        <v>360</v>
      </c>
      <c r="R311" s="49">
        <f>IFERROR(Q311/$P311,0)</f>
        <v>0.38918918918918921</v>
      </c>
      <c r="S311" s="48">
        <f>SUM(S310)</f>
        <v>0</v>
      </c>
      <c r="T311" s="49">
        <f>IFERROR(S311/$P311,0)</f>
        <v>0</v>
      </c>
      <c r="U311" s="48">
        <f>SUM(U310)</f>
        <v>0</v>
      </c>
      <c r="V311" s="49">
        <f>IFERROR(U311/$P311,0)</f>
        <v>0</v>
      </c>
      <c r="W311" s="48">
        <f>SUM(W310)</f>
        <v>0</v>
      </c>
      <c r="X311" s="49">
        <f>IFERROR(W311/$P311,0)</f>
        <v>0</v>
      </c>
      <c r="Y311" s="48">
        <f>SUM(Y310)</f>
        <v>925</v>
      </c>
      <c r="Z311" s="48">
        <f>SUM(Z310)</f>
        <v>925</v>
      </c>
    </row>
    <row r="312" spans="1:26" ht="13.9" customHeight="1" x14ac:dyDescent="0.25">
      <c r="A312" s="15">
        <v>5</v>
      </c>
      <c r="B312" s="15">
        <v>1</v>
      </c>
      <c r="C312" s="15">
        <v>4</v>
      </c>
      <c r="D312" s="86"/>
      <c r="E312" s="87"/>
      <c r="F312" s="27" t="s">
        <v>122</v>
      </c>
      <c r="G312" s="28">
        <f t="shared" ref="G312:Q312" si="176">G311</f>
        <v>772.72</v>
      </c>
      <c r="H312" s="28">
        <f t="shared" si="176"/>
        <v>1975.22</v>
      </c>
      <c r="I312" s="28">
        <f t="shared" si="176"/>
        <v>917</v>
      </c>
      <c r="J312" s="28">
        <f t="shared" si="176"/>
        <v>1200</v>
      </c>
      <c r="K312" s="28">
        <f t="shared" si="176"/>
        <v>925</v>
      </c>
      <c r="L312" s="28">
        <f t="shared" si="176"/>
        <v>0</v>
      </c>
      <c r="M312" s="28">
        <f t="shared" si="176"/>
        <v>0</v>
      </c>
      <c r="N312" s="28">
        <f t="shared" si="176"/>
        <v>0</v>
      </c>
      <c r="O312" s="28">
        <f t="shared" si="176"/>
        <v>0</v>
      </c>
      <c r="P312" s="28">
        <f t="shared" si="176"/>
        <v>925</v>
      </c>
      <c r="Q312" s="28">
        <f t="shared" si="176"/>
        <v>360</v>
      </c>
      <c r="R312" s="29">
        <f>IFERROR(Q312/$P312,0)</f>
        <v>0.38918918918918921</v>
      </c>
      <c r="S312" s="28">
        <f>S311</f>
        <v>0</v>
      </c>
      <c r="T312" s="29">
        <f>IFERROR(S312/$P312,0)</f>
        <v>0</v>
      </c>
      <c r="U312" s="28">
        <f>U311</f>
        <v>0</v>
      </c>
      <c r="V312" s="29">
        <f>IFERROR(U312/$P312,0)</f>
        <v>0</v>
      </c>
      <c r="W312" s="28">
        <f>W311</f>
        <v>0</v>
      </c>
      <c r="X312" s="29">
        <f>IFERROR(W312/$P312,0)</f>
        <v>0</v>
      </c>
      <c r="Y312" s="28">
        <f>Y311</f>
        <v>925</v>
      </c>
      <c r="Z312" s="28">
        <f>Z311</f>
        <v>925</v>
      </c>
    </row>
    <row r="314" spans="1:26" ht="13.9" customHeight="1" x14ac:dyDescent="0.25">
      <c r="D314" s="41" t="s">
        <v>204</v>
      </c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2"/>
      <c r="S314" s="41"/>
      <c r="T314" s="42"/>
      <c r="U314" s="41"/>
      <c r="V314" s="42"/>
      <c r="W314" s="41"/>
      <c r="X314" s="42"/>
      <c r="Y314" s="41"/>
      <c r="Z314" s="41"/>
    </row>
    <row r="315" spans="1:26" ht="13.9" customHeight="1" x14ac:dyDescent="0.25">
      <c r="D315" s="127"/>
      <c r="E315" s="127"/>
      <c r="F315" s="127"/>
      <c r="G315" s="21" t="s">
        <v>1</v>
      </c>
      <c r="H315" s="21" t="s">
        <v>2</v>
      </c>
      <c r="I315" s="21" t="s">
        <v>3</v>
      </c>
      <c r="J315" s="21" t="s">
        <v>4</v>
      </c>
      <c r="K315" s="21" t="s">
        <v>5</v>
      </c>
      <c r="L315" s="21" t="s">
        <v>6</v>
      </c>
      <c r="M315" s="21" t="s">
        <v>7</v>
      </c>
      <c r="N315" s="21" t="s">
        <v>8</v>
      </c>
      <c r="O315" s="21" t="s">
        <v>9</v>
      </c>
      <c r="P315" s="21" t="s">
        <v>10</v>
      </c>
      <c r="Q315" s="21" t="s">
        <v>11</v>
      </c>
      <c r="R315" s="22" t="s">
        <v>12</v>
      </c>
      <c r="S315" s="21" t="s">
        <v>13</v>
      </c>
      <c r="T315" s="22" t="s">
        <v>14</v>
      </c>
      <c r="U315" s="21" t="s">
        <v>15</v>
      </c>
      <c r="V315" s="22" t="s">
        <v>16</v>
      </c>
      <c r="W315" s="21" t="s">
        <v>17</v>
      </c>
      <c r="X315" s="22" t="s">
        <v>18</v>
      </c>
      <c r="Y315" s="21" t="s">
        <v>19</v>
      </c>
      <c r="Z315" s="21" t="s">
        <v>20</v>
      </c>
    </row>
    <row r="316" spans="1:26" ht="13.9" customHeight="1" x14ac:dyDescent="0.25">
      <c r="A316" s="15">
        <v>5</v>
      </c>
      <c r="B316" s="15">
        <v>2</v>
      </c>
      <c r="D316" s="23" t="s">
        <v>21</v>
      </c>
      <c r="E316" s="133" t="s">
        <v>205</v>
      </c>
      <c r="F316" s="24" t="s">
        <v>45</v>
      </c>
      <c r="G316" s="25">
        <f t="shared" ref="G316:Q316" si="177">G331+G342</f>
        <v>659.61</v>
      </c>
      <c r="H316" s="25">
        <f t="shared" si="177"/>
        <v>4036.38</v>
      </c>
      <c r="I316" s="25">
        <f t="shared" si="177"/>
        <v>0</v>
      </c>
      <c r="J316" s="25">
        <f t="shared" si="177"/>
        <v>544</v>
      </c>
      <c r="K316" s="25">
        <f t="shared" si="177"/>
        <v>0</v>
      </c>
      <c r="L316" s="25">
        <f t="shared" si="177"/>
        <v>0</v>
      </c>
      <c r="M316" s="25">
        <f t="shared" si="177"/>
        <v>0</v>
      </c>
      <c r="N316" s="25">
        <f t="shared" si="177"/>
        <v>0</v>
      </c>
      <c r="O316" s="25">
        <f t="shared" si="177"/>
        <v>0</v>
      </c>
      <c r="P316" s="25">
        <f t="shared" si="177"/>
        <v>0</v>
      </c>
      <c r="Q316" s="25">
        <f t="shared" si="177"/>
        <v>0</v>
      </c>
      <c r="R316" s="26">
        <f>IFERROR(Q316/$P316,0)</f>
        <v>0</v>
      </c>
      <c r="S316" s="25">
        <f>S331+S342</f>
        <v>0</v>
      </c>
      <c r="T316" s="26">
        <f>IFERROR(S316/$P316,0)</f>
        <v>0</v>
      </c>
      <c r="U316" s="25">
        <f>U331+U342</f>
        <v>0</v>
      </c>
      <c r="V316" s="26">
        <f>IFERROR(U316/$P316,0)</f>
        <v>0</v>
      </c>
      <c r="W316" s="25">
        <f>W331+W342</f>
        <v>0</v>
      </c>
      <c r="X316" s="26">
        <f>IFERROR(W316/$P316,0)</f>
        <v>0</v>
      </c>
      <c r="Y316" s="25">
        <f>Y331+Y342</f>
        <v>0</v>
      </c>
      <c r="Z316" s="25">
        <f>Z331+Z342</f>
        <v>0</v>
      </c>
    </row>
    <row r="317" spans="1:26" ht="13.9" customHeight="1" x14ac:dyDescent="0.25">
      <c r="A317" s="15">
        <v>5</v>
      </c>
      <c r="B317" s="15">
        <v>2</v>
      </c>
      <c r="D317" s="23" t="s">
        <v>21</v>
      </c>
      <c r="E317" s="24">
        <v>41</v>
      </c>
      <c r="F317" s="24" t="s">
        <v>23</v>
      </c>
      <c r="G317" s="25">
        <f t="shared" ref="G317:Q317" si="178">G325+G333+G346</f>
        <v>10301.01</v>
      </c>
      <c r="H317" s="25">
        <f t="shared" si="178"/>
        <v>13251.599999999999</v>
      </c>
      <c r="I317" s="25">
        <f t="shared" si="178"/>
        <v>21379</v>
      </c>
      <c r="J317" s="25">
        <f t="shared" si="178"/>
        <v>14397</v>
      </c>
      <c r="K317" s="25">
        <f t="shared" si="178"/>
        <v>13513</v>
      </c>
      <c r="L317" s="25">
        <f t="shared" si="178"/>
        <v>0</v>
      </c>
      <c r="M317" s="25">
        <f t="shared" si="178"/>
        <v>0</v>
      </c>
      <c r="N317" s="25">
        <f t="shared" si="178"/>
        <v>0</v>
      </c>
      <c r="O317" s="25">
        <f t="shared" si="178"/>
        <v>0</v>
      </c>
      <c r="P317" s="25">
        <f t="shared" si="178"/>
        <v>13513</v>
      </c>
      <c r="Q317" s="25">
        <f t="shared" si="178"/>
        <v>3525.63</v>
      </c>
      <c r="R317" s="26">
        <f>IFERROR(Q317/$P317,0)</f>
        <v>0.26090653444830902</v>
      </c>
      <c r="S317" s="25">
        <f>S325+S333+S346</f>
        <v>0</v>
      </c>
      <c r="T317" s="26">
        <f>IFERROR(S317/$P317,0)</f>
        <v>0</v>
      </c>
      <c r="U317" s="25">
        <f>U325+U333+U346</f>
        <v>0</v>
      </c>
      <c r="V317" s="26">
        <f>IFERROR(U317/$P317,0)</f>
        <v>0</v>
      </c>
      <c r="W317" s="25">
        <f>W325+W333+W346</f>
        <v>0</v>
      </c>
      <c r="X317" s="26">
        <f>IFERROR(W317/$P317,0)</f>
        <v>0</v>
      </c>
      <c r="Y317" s="25">
        <f>Y325+Y333+Y346</f>
        <v>13799</v>
      </c>
      <c r="Z317" s="25">
        <f>Z325+Z333+Z346</f>
        <v>14104</v>
      </c>
    </row>
    <row r="318" spans="1:26" ht="13.9" customHeight="1" x14ac:dyDescent="0.25">
      <c r="A318" s="15">
        <v>5</v>
      </c>
      <c r="B318" s="15">
        <v>2</v>
      </c>
      <c r="D318" s="23" t="s">
        <v>21</v>
      </c>
      <c r="E318" s="24">
        <v>72</v>
      </c>
      <c r="F318" s="24" t="s">
        <v>25</v>
      </c>
      <c r="G318" s="25">
        <f t="shared" ref="G318:Q318" si="179">G348</f>
        <v>0</v>
      </c>
      <c r="H318" s="25">
        <f t="shared" si="179"/>
        <v>0</v>
      </c>
      <c r="I318" s="25">
        <f t="shared" si="179"/>
        <v>0</v>
      </c>
      <c r="J318" s="25">
        <f t="shared" si="179"/>
        <v>0</v>
      </c>
      <c r="K318" s="25">
        <f t="shared" si="179"/>
        <v>0</v>
      </c>
      <c r="L318" s="25">
        <f t="shared" si="179"/>
        <v>0</v>
      </c>
      <c r="M318" s="25">
        <f t="shared" si="179"/>
        <v>0</v>
      </c>
      <c r="N318" s="25">
        <f t="shared" si="179"/>
        <v>0</v>
      </c>
      <c r="O318" s="25">
        <f t="shared" si="179"/>
        <v>0</v>
      </c>
      <c r="P318" s="25">
        <f t="shared" si="179"/>
        <v>0</v>
      </c>
      <c r="Q318" s="25">
        <f t="shared" si="179"/>
        <v>0</v>
      </c>
      <c r="R318" s="26">
        <f>IFERROR(Q318/$P318,0)</f>
        <v>0</v>
      </c>
      <c r="S318" s="25">
        <f>S348</f>
        <v>0</v>
      </c>
      <c r="T318" s="26">
        <f>IFERROR(S318/$P318,0)</f>
        <v>0</v>
      </c>
      <c r="U318" s="25">
        <f>U348</f>
        <v>0</v>
      </c>
      <c r="V318" s="26">
        <f>IFERROR(U318/$P318,0)</f>
        <v>0</v>
      </c>
      <c r="W318" s="25">
        <f>W348</f>
        <v>0</v>
      </c>
      <c r="X318" s="26">
        <f>IFERROR(W318/$P318,0)</f>
        <v>0</v>
      </c>
      <c r="Y318" s="25">
        <f>Y348</f>
        <v>0</v>
      </c>
      <c r="Z318" s="25">
        <f>Z348</f>
        <v>0</v>
      </c>
    </row>
    <row r="319" spans="1:26" ht="13.9" customHeight="1" x14ac:dyDescent="0.25">
      <c r="A319" s="15">
        <v>5</v>
      </c>
      <c r="B319" s="15">
        <v>2</v>
      </c>
      <c r="D319" s="30"/>
      <c r="E319" s="31"/>
      <c r="F319" s="27" t="s">
        <v>122</v>
      </c>
      <c r="G319" s="28">
        <f t="shared" ref="G319:Q319" si="180">SUM(G316:G318)</f>
        <v>10960.62</v>
      </c>
      <c r="H319" s="28">
        <f t="shared" si="180"/>
        <v>17287.98</v>
      </c>
      <c r="I319" s="28">
        <f t="shared" si="180"/>
        <v>21379</v>
      </c>
      <c r="J319" s="28">
        <f t="shared" si="180"/>
        <v>14941</v>
      </c>
      <c r="K319" s="28">
        <f t="shared" si="180"/>
        <v>13513</v>
      </c>
      <c r="L319" s="28">
        <f t="shared" si="180"/>
        <v>0</v>
      </c>
      <c r="M319" s="28">
        <f t="shared" si="180"/>
        <v>0</v>
      </c>
      <c r="N319" s="28">
        <f t="shared" si="180"/>
        <v>0</v>
      </c>
      <c r="O319" s="28">
        <f t="shared" si="180"/>
        <v>0</v>
      </c>
      <c r="P319" s="28">
        <f t="shared" si="180"/>
        <v>13513</v>
      </c>
      <c r="Q319" s="28">
        <f t="shared" si="180"/>
        <v>3525.63</v>
      </c>
      <c r="R319" s="29">
        <f>IFERROR(Q319/$P319,0)</f>
        <v>0.26090653444830902</v>
      </c>
      <c r="S319" s="28">
        <f>SUM(S316:S318)</f>
        <v>0</v>
      </c>
      <c r="T319" s="29">
        <f>IFERROR(S319/$P319,0)</f>
        <v>0</v>
      </c>
      <c r="U319" s="28">
        <f>SUM(U316:U318)</f>
        <v>0</v>
      </c>
      <c r="V319" s="29">
        <f>IFERROR(U319/$P319,0)</f>
        <v>0</v>
      </c>
      <c r="W319" s="28">
        <f>SUM(W316:W318)</f>
        <v>0</v>
      </c>
      <c r="X319" s="29">
        <f>IFERROR(W319/$P319,0)</f>
        <v>0</v>
      </c>
      <c r="Y319" s="28">
        <f>SUM(Y316:Y318)</f>
        <v>13799</v>
      </c>
      <c r="Z319" s="28">
        <f>SUM(Z316:Z318)</f>
        <v>14104</v>
      </c>
    </row>
    <row r="321" spans="1:26" ht="13.9" customHeight="1" x14ac:dyDescent="0.25">
      <c r="D321" s="72" t="s">
        <v>206</v>
      </c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3"/>
      <c r="S321" s="72"/>
      <c r="T321" s="73"/>
      <c r="U321" s="72"/>
      <c r="V321" s="73"/>
      <c r="W321" s="72"/>
      <c r="X321" s="73"/>
      <c r="Y321" s="72"/>
      <c r="Z321" s="72"/>
    </row>
    <row r="322" spans="1:26" ht="13.9" customHeight="1" x14ac:dyDescent="0.25">
      <c r="D322" s="21" t="s">
        <v>32</v>
      </c>
      <c r="E322" s="21" t="s">
        <v>33</v>
      </c>
      <c r="F322" s="21" t="s">
        <v>34</v>
      </c>
      <c r="G322" s="21" t="s">
        <v>1</v>
      </c>
      <c r="H322" s="21" t="s">
        <v>2</v>
      </c>
      <c r="I322" s="21" t="s">
        <v>3</v>
      </c>
      <c r="J322" s="21" t="s">
        <v>4</v>
      </c>
      <c r="K322" s="21" t="s">
        <v>5</v>
      </c>
      <c r="L322" s="21" t="s">
        <v>6</v>
      </c>
      <c r="M322" s="21" t="s">
        <v>7</v>
      </c>
      <c r="N322" s="21" t="s">
        <v>8</v>
      </c>
      <c r="O322" s="21" t="s">
        <v>9</v>
      </c>
      <c r="P322" s="21" t="s">
        <v>10</v>
      </c>
      <c r="Q322" s="21" t="s">
        <v>11</v>
      </c>
      <c r="R322" s="22" t="s">
        <v>12</v>
      </c>
      <c r="S322" s="21" t="s">
        <v>13</v>
      </c>
      <c r="T322" s="22" t="s">
        <v>14</v>
      </c>
      <c r="U322" s="21" t="s">
        <v>15</v>
      </c>
      <c r="V322" s="22" t="s">
        <v>16</v>
      </c>
      <c r="W322" s="21" t="s">
        <v>17</v>
      </c>
      <c r="X322" s="22" t="s">
        <v>18</v>
      </c>
      <c r="Y322" s="21" t="s">
        <v>19</v>
      </c>
      <c r="Z322" s="21" t="s">
        <v>20</v>
      </c>
    </row>
    <row r="323" spans="1:26" ht="13.9" customHeight="1" x14ac:dyDescent="0.25">
      <c r="A323" s="15">
        <v>5</v>
      </c>
      <c r="B323" s="15">
        <v>2</v>
      </c>
      <c r="C323" s="15">
        <v>1</v>
      </c>
      <c r="D323" s="10" t="s">
        <v>207</v>
      </c>
      <c r="E323" s="24">
        <v>630</v>
      </c>
      <c r="F323" s="24" t="s">
        <v>129</v>
      </c>
      <c r="G323" s="25">
        <v>3875.78</v>
      </c>
      <c r="H323" s="25">
        <v>2881.54</v>
      </c>
      <c r="I323" s="25">
        <v>3200</v>
      </c>
      <c r="J323" s="25">
        <v>2969</v>
      </c>
      <c r="K323" s="25">
        <v>2970</v>
      </c>
      <c r="L323" s="25"/>
      <c r="M323" s="25"/>
      <c r="N323" s="25"/>
      <c r="O323" s="25"/>
      <c r="P323" s="25">
        <f>K323+SUM(L323:O323)</f>
        <v>2970</v>
      </c>
      <c r="Q323" s="25">
        <v>1231.1600000000001</v>
      </c>
      <c r="R323" s="26">
        <f>IFERROR(Q323/$P323,0)</f>
        <v>0.41453198653198658</v>
      </c>
      <c r="S323" s="25"/>
      <c r="T323" s="26">
        <f>IFERROR(S323/$P323,0)</f>
        <v>0</v>
      </c>
      <c r="U323" s="25"/>
      <c r="V323" s="26">
        <f>IFERROR(U323/$P323,0)</f>
        <v>0</v>
      </c>
      <c r="W323" s="25"/>
      <c r="X323" s="26">
        <f>IFERROR(W323/$P323,0)</f>
        <v>0</v>
      </c>
      <c r="Y323" s="25">
        <f>K323</f>
        <v>2970</v>
      </c>
      <c r="Z323" s="25">
        <f>Y323</f>
        <v>2970</v>
      </c>
    </row>
    <row r="324" spans="1:26" ht="13.9" hidden="1" customHeight="1" x14ac:dyDescent="0.25">
      <c r="A324" s="15">
        <v>5</v>
      </c>
      <c r="B324" s="15">
        <v>2</v>
      </c>
      <c r="C324" s="15">
        <v>1</v>
      </c>
      <c r="D324" s="10"/>
      <c r="E324" s="24">
        <v>640</v>
      </c>
      <c r="F324" s="24" t="s">
        <v>130</v>
      </c>
      <c r="G324" s="25">
        <v>0</v>
      </c>
      <c r="H324" s="25">
        <v>100</v>
      </c>
      <c r="I324" s="25">
        <v>0</v>
      </c>
      <c r="J324" s="25">
        <v>0</v>
      </c>
      <c r="K324" s="25">
        <v>0</v>
      </c>
      <c r="L324" s="25"/>
      <c r="M324" s="25"/>
      <c r="N324" s="25"/>
      <c r="O324" s="25"/>
      <c r="P324" s="25">
        <f>K324+SUM(L324:O324)</f>
        <v>0</v>
      </c>
      <c r="Q324" s="25"/>
      <c r="R324" s="26">
        <f>IFERROR(Q324/$P324,0)</f>
        <v>0</v>
      </c>
      <c r="S324" s="25"/>
      <c r="T324" s="26">
        <f>IFERROR(S324/$P324,0)</f>
        <v>0</v>
      </c>
      <c r="U324" s="25"/>
      <c r="V324" s="26">
        <f>IFERROR(U324/$P324,0)</f>
        <v>0</v>
      </c>
      <c r="W324" s="25"/>
      <c r="X324" s="26">
        <f>IFERROR(W324/$P324,0)</f>
        <v>0</v>
      </c>
      <c r="Y324" s="25">
        <f>K324</f>
        <v>0</v>
      </c>
      <c r="Z324" s="25">
        <f>Y324</f>
        <v>0</v>
      </c>
    </row>
    <row r="325" spans="1:26" ht="13.9" customHeight="1" x14ac:dyDescent="0.25">
      <c r="A325" s="15">
        <v>5</v>
      </c>
      <c r="B325" s="15">
        <v>2</v>
      </c>
      <c r="C325" s="15">
        <v>1</v>
      </c>
      <c r="D325" s="79" t="s">
        <v>21</v>
      </c>
      <c r="E325" s="47">
        <v>41</v>
      </c>
      <c r="F325" s="47" t="s">
        <v>23</v>
      </c>
      <c r="G325" s="48">
        <f t="shared" ref="G325:Q325" si="181">SUM(G323:G324)</f>
        <v>3875.78</v>
      </c>
      <c r="H325" s="48">
        <f t="shared" si="181"/>
        <v>2981.54</v>
      </c>
      <c r="I325" s="48">
        <f t="shared" si="181"/>
        <v>3200</v>
      </c>
      <c r="J325" s="48">
        <f t="shared" si="181"/>
        <v>2969</v>
      </c>
      <c r="K325" s="48">
        <f t="shared" si="181"/>
        <v>2970</v>
      </c>
      <c r="L325" s="48">
        <f t="shared" si="181"/>
        <v>0</v>
      </c>
      <c r="M325" s="48">
        <f t="shared" si="181"/>
        <v>0</v>
      </c>
      <c r="N325" s="48">
        <f t="shared" si="181"/>
        <v>0</v>
      </c>
      <c r="O325" s="48">
        <f t="shared" si="181"/>
        <v>0</v>
      </c>
      <c r="P325" s="48">
        <f t="shared" si="181"/>
        <v>2970</v>
      </c>
      <c r="Q325" s="48">
        <f t="shared" si="181"/>
        <v>1231.1600000000001</v>
      </c>
      <c r="R325" s="49">
        <f>IFERROR(Q325/$P325,0)</f>
        <v>0.41453198653198658</v>
      </c>
      <c r="S325" s="48">
        <f>SUM(S323:S324)</f>
        <v>0</v>
      </c>
      <c r="T325" s="49">
        <f>IFERROR(S325/$P325,0)</f>
        <v>0</v>
      </c>
      <c r="U325" s="48">
        <f>SUM(U323:U324)</f>
        <v>0</v>
      </c>
      <c r="V325" s="49">
        <f>IFERROR(U325/$P325,0)</f>
        <v>0</v>
      </c>
      <c r="W325" s="48">
        <f>SUM(W323:W324)</f>
        <v>0</v>
      </c>
      <c r="X325" s="49">
        <f>IFERROR(W325/$P325,0)</f>
        <v>0</v>
      </c>
      <c r="Y325" s="48">
        <f>SUM(Y323:Y324)</f>
        <v>2970</v>
      </c>
      <c r="Z325" s="48">
        <f>SUM(Z323:Z324)</f>
        <v>2970</v>
      </c>
    </row>
    <row r="326" spans="1:26" ht="13.9" customHeight="1" x14ac:dyDescent="0.25">
      <c r="A326" s="15">
        <v>5</v>
      </c>
      <c r="B326" s="15">
        <v>2</v>
      </c>
      <c r="C326" s="15">
        <v>1</v>
      </c>
      <c r="D326" s="86"/>
      <c r="E326" s="87"/>
      <c r="F326" s="27" t="s">
        <v>122</v>
      </c>
      <c r="G326" s="28">
        <f t="shared" ref="G326:Q326" si="182">G325</f>
        <v>3875.78</v>
      </c>
      <c r="H326" s="28">
        <f t="shared" si="182"/>
        <v>2981.54</v>
      </c>
      <c r="I326" s="28">
        <f t="shared" si="182"/>
        <v>3200</v>
      </c>
      <c r="J326" s="28">
        <f t="shared" si="182"/>
        <v>2969</v>
      </c>
      <c r="K326" s="28">
        <f t="shared" si="182"/>
        <v>2970</v>
      </c>
      <c r="L326" s="28">
        <f t="shared" si="182"/>
        <v>0</v>
      </c>
      <c r="M326" s="28">
        <f t="shared" si="182"/>
        <v>0</v>
      </c>
      <c r="N326" s="28">
        <f t="shared" si="182"/>
        <v>0</v>
      </c>
      <c r="O326" s="28">
        <f t="shared" si="182"/>
        <v>0</v>
      </c>
      <c r="P326" s="28">
        <f t="shared" si="182"/>
        <v>2970</v>
      </c>
      <c r="Q326" s="28">
        <f t="shared" si="182"/>
        <v>1231.1600000000001</v>
      </c>
      <c r="R326" s="29">
        <f>IFERROR(Q326/$P326,0)</f>
        <v>0.41453198653198658</v>
      </c>
      <c r="S326" s="28">
        <f>S325</f>
        <v>0</v>
      </c>
      <c r="T326" s="29">
        <f>IFERROR(S326/$P326,0)</f>
        <v>0</v>
      </c>
      <c r="U326" s="28">
        <f>U325</f>
        <v>0</v>
      </c>
      <c r="V326" s="29">
        <f>IFERROR(U326/$P326,0)</f>
        <v>0</v>
      </c>
      <c r="W326" s="28">
        <f>W325</f>
        <v>0</v>
      </c>
      <c r="X326" s="29">
        <f>IFERROR(W326/$P326,0)</f>
        <v>0</v>
      </c>
      <c r="Y326" s="28">
        <f>Y325</f>
        <v>2970</v>
      </c>
      <c r="Z326" s="28">
        <f>Z325</f>
        <v>2970</v>
      </c>
    </row>
    <row r="328" spans="1:26" ht="13.9" customHeight="1" x14ac:dyDescent="0.25">
      <c r="D328" s="72" t="s">
        <v>208</v>
      </c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3"/>
      <c r="S328" s="72"/>
      <c r="T328" s="73"/>
      <c r="U328" s="72"/>
      <c r="V328" s="73"/>
      <c r="W328" s="72"/>
      <c r="X328" s="73"/>
      <c r="Y328" s="72"/>
      <c r="Z328" s="72"/>
    </row>
    <row r="329" spans="1:26" ht="13.9" customHeight="1" x14ac:dyDescent="0.25">
      <c r="D329" s="21" t="s">
        <v>32</v>
      </c>
      <c r="E329" s="21" t="s">
        <v>33</v>
      </c>
      <c r="F329" s="21" t="s">
        <v>34</v>
      </c>
      <c r="G329" s="21" t="s">
        <v>1</v>
      </c>
      <c r="H329" s="21" t="s">
        <v>2</v>
      </c>
      <c r="I329" s="21" t="s">
        <v>3</v>
      </c>
      <c r="J329" s="21" t="s">
        <v>4</v>
      </c>
      <c r="K329" s="21" t="s">
        <v>5</v>
      </c>
      <c r="L329" s="21" t="s">
        <v>6</v>
      </c>
      <c r="M329" s="21" t="s">
        <v>7</v>
      </c>
      <c r="N329" s="21" t="s">
        <v>8</v>
      </c>
      <c r="O329" s="21" t="s">
        <v>9</v>
      </c>
      <c r="P329" s="21" t="s">
        <v>10</v>
      </c>
      <c r="Q329" s="21" t="s">
        <v>11</v>
      </c>
      <c r="R329" s="22" t="s">
        <v>12</v>
      </c>
      <c r="S329" s="21" t="s">
        <v>13</v>
      </c>
      <c r="T329" s="22" t="s">
        <v>14</v>
      </c>
      <c r="U329" s="21" t="s">
        <v>15</v>
      </c>
      <c r="V329" s="22" t="s">
        <v>16</v>
      </c>
      <c r="W329" s="21" t="s">
        <v>17</v>
      </c>
      <c r="X329" s="22" t="s">
        <v>18</v>
      </c>
      <c r="Y329" s="21" t="s">
        <v>19</v>
      </c>
      <c r="Z329" s="21" t="s">
        <v>20</v>
      </c>
    </row>
    <row r="330" spans="1:26" ht="13.9" hidden="1" customHeight="1" x14ac:dyDescent="0.25">
      <c r="A330" s="15">
        <v>5</v>
      </c>
      <c r="B330" s="15">
        <v>2</v>
      </c>
      <c r="C330" s="15">
        <v>2</v>
      </c>
      <c r="D330" s="50" t="s">
        <v>209</v>
      </c>
      <c r="E330" s="24">
        <v>630</v>
      </c>
      <c r="F330" s="24" t="s">
        <v>129</v>
      </c>
      <c r="G330" s="45">
        <v>659.61</v>
      </c>
      <c r="H330" s="45">
        <v>4036.38</v>
      </c>
      <c r="I330" s="25">
        <v>0</v>
      </c>
      <c r="J330" s="25">
        <v>0</v>
      </c>
      <c r="K330" s="25">
        <v>0</v>
      </c>
      <c r="L330" s="25"/>
      <c r="M330" s="25"/>
      <c r="N330" s="25"/>
      <c r="O330" s="25"/>
      <c r="P330" s="45">
        <f>K330+SUM(L330:O330)</f>
        <v>0</v>
      </c>
      <c r="Q330" s="45">
        <v>0</v>
      </c>
      <c r="R330" s="46">
        <f>IFERROR(Q330/$P330,0)</f>
        <v>0</v>
      </c>
      <c r="S330" s="45"/>
      <c r="T330" s="46">
        <f>IFERROR(S330/$P330,0)</f>
        <v>0</v>
      </c>
      <c r="U330" s="45"/>
      <c r="V330" s="46">
        <f>IFERROR(U330/$P330,0)</f>
        <v>0</v>
      </c>
      <c r="W330" s="45"/>
      <c r="X330" s="46">
        <f>IFERROR(W330/$P330,0)</f>
        <v>0</v>
      </c>
      <c r="Y330" s="25">
        <v>0</v>
      </c>
      <c r="Z330" s="25">
        <v>0</v>
      </c>
    </row>
    <row r="331" spans="1:26" ht="13.9" hidden="1" customHeight="1" x14ac:dyDescent="0.25">
      <c r="A331" s="15">
        <v>5</v>
      </c>
      <c r="B331" s="15">
        <v>2</v>
      </c>
      <c r="C331" s="15">
        <v>2</v>
      </c>
      <c r="D331" s="79" t="s">
        <v>21</v>
      </c>
      <c r="E331" s="47">
        <v>111</v>
      </c>
      <c r="F331" s="47" t="s">
        <v>23</v>
      </c>
      <c r="G331" s="48">
        <f t="shared" ref="G331:Q331" si="183">SUM(G330)</f>
        <v>659.61</v>
      </c>
      <c r="H331" s="48">
        <f t="shared" si="183"/>
        <v>4036.38</v>
      </c>
      <c r="I331" s="48">
        <f t="shared" si="183"/>
        <v>0</v>
      </c>
      <c r="J331" s="48">
        <f t="shared" si="183"/>
        <v>0</v>
      </c>
      <c r="K331" s="48">
        <f t="shared" si="183"/>
        <v>0</v>
      </c>
      <c r="L331" s="48">
        <f t="shared" si="183"/>
        <v>0</v>
      </c>
      <c r="M331" s="48">
        <f t="shared" si="183"/>
        <v>0</v>
      </c>
      <c r="N331" s="48">
        <f t="shared" si="183"/>
        <v>0</v>
      </c>
      <c r="O331" s="48">
        <f t="shared" si="183"/>
        <v>0</v>
      </c>
      <c r="P331" s="48">
        <f t="shared" si="183"/>
        <v>0</v>
      </c>
      <c r="Q331" s="48">
        <f t="shared" si="183"/>
        <v>0</v>
      </c>
      <c r="R331" s="49">
        <f>IFERROR(Q331/$P331,0)</f>
        <v>0</v>
      </c>
      <c r="S331" s="48">
        <f>SUM(S330)</f>
        <v>0</v>
      </c>
      <c r="T331" s="49">
        <f>IFERROR(S331/$P331,0)</f>
        <v>0</v>
      </c>
      <c r="U331" s="48">
        <f>SUM(U330)</f>
        <v>0</v>
      </c>
      <c r="V331" s="49">
        <f>IFERROR(U331/$P331,0)</f>
        <v>0</v>
      </c>
      <c r="W331" s="48">
        <f>SUM(W330)</f>
        <v>0</v>
      </c>
      <c r="X331" s="49">
        <f>IFERROR(W331/$P331,0)</f>
        <v>0</v>
      </c>
      <c r="Y331" s="48">
        <f>SUM(Y330)</f>
        <v>0</v>
      </c>
      <c r="Z331" s="48">
        <f>SUM(Z330)</f>
        <v>0</v>
      </c>
    </row>
    <row r="332" spans="1:26" ht="13.9" customHeight="1" x14ac:dyDescent="0.25">
      <c r="A332" s="15">
        <v>5</v>
      </c>
      <c r="B332" s="15">
        <v>2</v>
      </c>
      <c r="C332" s="15">
        <v>2</v>
      </c>
      <c r="D332" s="84" t="s">
        <v>209</v>
      </c>
      <c r="E332" s="24">
        <v>630</v>
      </c>
      <c r="F332" s="24" t="s">
        <v>129</v>
      </c>
      <c r="G332" s="25">
        <v>3131.21</v>
      </c>
      <c r="H332" s="25">
        <v>3657.61</v>
      </c>
      <c r="I332" s="25">
        <v>3621</v>
      </c>
      <c r="J332" s="25">
        <v>4275</v>
      </c>
      <c r="K332" s="25">
        <v>4288</v>
      </c>
      <c r="L332" s="25"/>
      <c r="M332" s="25"/>
      <c r="N332" s="25"/>
      <c r="O332" s="25"/>
      <c r="P332" s="25">
        <f>K332+SUM(L332:O332)</f>
        <v>4288</v>
      </c>
      <c r="Q332" s="25">
        <v>484.5</v>
      </c>
      <c r="R332" s="26">
        <f>IFERROR(Q332/$P332,0)</f>
        <v>0.11298973880597014</v>
      </c>
      <c r="S332" s="25"/>
      <c r="T332" s="26">
        <f>IFERROR(S332/$P332,0)</f>
        <v>0</v>
      </c>
      <c r="U332" s="25"/>
      <c r="V332" s="26">
        <f>IFERROR(U332/$P332,0)</f>
        <v>0</v>
      </c>
      <c r="W332" s="25"/>
      <c r="X332" s="26">
        <f>IFERROR(W332/$P332,0)</f>
        <v>0</v>
      </c>
      <c r="Y332" s="25">
        <f>K332</f>
        <v>4288</v>
      </c>
      <c r="Z332" s="25">
        <f>Y332</f>
        <v>4288</v>
      </c>
    </row>
    <row r="333" spans="1:26" ht="13.9" customHeight="1" x14ac:dyDescent="0.25">
      <c r="A333" s="15">
        <v>5</v>
      </c>
      <c r="B333" s="15">
        <v>2</v>
      </c>
      <c r="C333" s="15">
        <v>2</v>
      </c>
      <c r="D333" s="79" t="s">
        <v>21</v>
      </c>
      <c r="E333" s="47">
        <v>41</v>
      </c>
      <c r="F333" s="47" t="s">
        <v>23</v>
      </c>
      <c r="G333" s="48">
        <f t="shared" ref="G333:Q333" si="184">SUM(G332)</f>
        <v>3131.21</v>
      </c>
      <c r="H333" s="48">
        <f t="shared" si="184"/>
        <v>3657.61</v>
      </c>
      <c r="I333" s="48">
        <f t="shared" si="184"/>
        <v>3621</v>
      </c>
      <c r="J333" s="48">
        <f t="shared" si="184"/>
        <v>4275</v>
      </c>
      <c r="K333" s="48">
        <f t="shared" si="184"/>
        <v>4288</v>
      </c>
      <c r="L333" s="48">
        <f t="shared" si="184"/>
        <v>0</v>
      </c>
      <c r="M333" s="48">
        <f t="shared" si="184"/>
        <v>0</v>
      </c>
      <c r="N333" s="48">
        <f t="shared" si="184"/>
        <v>0</v>
      </c>
      <c r="O333" s="48">
        <f t="shared" si="184"/>
        <v>0</v>
      </c>
      <c r="P333" s="48">
        <f t="shared" si="184"/>
        <v>4288</v>
      </c>
      <c r="Q333" s="48">
        <f t="shared" si="184"/>
        <v>484.5</v>
      </c>
      <c r="R333" s="49">
        <f>IFERROR(Q333/$P333,0)</f>
        <v>0.11298973880597014</v>
      </c>
      <c r="S333" s="48">
        <f>SUM(S332)</f>
        <v>0</v>
      </c>
      <c r="T333" s="49">
        <f>IFERROR(S333/$P333,0)</f>
        <v>0</v>
      </c>
      <c r="U333" s="48">
        <f>SUM(U332)</f>
        <v>0</v>
      </c>
      <c r="V333" s="49">
        <f>IFERROR(U333/$P333,0)</f>
        <v>0</v>
      </c>
      <c r="W333" s="48">
        <f>SUM(W332)</f>
        <v>0</v>
      </c>
      <c r="X333" s="49">
        <f>IFERROR(W333/$P333,0)</f>
        <v>0</v>
      </c>
      <c r="Y333" s="48">
        <f>SUM(Y332)</f>
        <v>4288</v>
      </c>
      <c r="Z333" s="48">
        <f>SUM(Z332)</f>
        <v>4288</v>
      </c>
    </row>
    <row r="334" spans="1:26" ht="13.9" customHeight="1" x14ac:dyDescent="0.25">
      <c r="A334" s="15">
        <v>5</v>
      </c>
      <c r="B334" s="15">
        <v>2</v>
      </c>
      <c r="C334" s="15">
        <v>2</v>
      </c>
      <c r="D334" s="86"/>
      <c r="E334" s="87"/>
      <c r="F334" s="27" t="s">
        <v>122</v>
      </c>
      <c r="G334" s="28">
        <f t="shared" ref="G334:Q334" si="185">G331+G333</f>
        <v>3790.82</v>
      </c>
      <c r="H334" s="28">
        <f t="shared" si="185"/>
        <v>7693.99</v>
      </c>
      <c r="I334" s="28">
        <f t="shared" si="185"/>
        <v>3621</v>
      </c>
      <c r="J334" s="28">
        <f t="shared" si="185"/>
        <v>4275</v>
      </c>
      <c r="K334" s="28">
        <f t="shared" si="185"/>
        <v>4288</v>
      </c>
      <c r="L334" s="28">
        <f t="shared" si="185"/>
        <v>0</v>
      </c>
      <c r="M334" s="28">
        <f t="shared" si="185"/>
        <v>0</v>
      </c>
      <c r="N334" s="28">
        <f t="shared" si="185"/>
        <v>0</v>
      </c>
      <c r="O334" s="28">
        <f t="shared" si="185"/>
        <v>0</v>
      </c>
      <c r="P334" s="28">
        <f t="shared" si="185"/>
        <v>4288</v>
      </c>
      <c r="Q334" s="28">
        <f t="shared" si="185"/>
        <v>484.5</v>
      </c>
      <c r="R334" s="29">
        <f>IFERROR(Q334/$P334,0)</f>
        <v>0.11298973880597014</v>
      </c>
      <c r="S334" s="28">
        <f>S331+S333</f>
        <v>0</v>
      </c>
      <c r="T334" s="29">
        <f>IFERROR(S334/$P334,0)</f>
        <v>0</v>
      </c>
      <c r="U334" s="28">
        <f>U331+U333</f>
        <v>0</v>
      </c>
      <c r="V334" s="29">
        <f>IFERROR(U334/$P334,0)</f>
        <v>0</v>
      </c>
      <c r="W334" s="28">
        <f>W331+W333</f>
        <v>0</v>
      </c>
      <c r="X334" s="29">
        <f>IFERROR(W334/$P334,0)</f>
        <v>0</v>
      </c>
      <c r="Y334" s="28">
        <f>Y331+Y333</f>
        <v>4288</v>
      </c>
      <c r="Z334" s="28">
        <f>Z331+Z333</f>
        <v>4288</v>
      </c>
    </row>
    <row r="336" spans="1:26" ht="13.9" customHeight="1" x14ac:dyDescent="0.25">
      <c r="E336" s="117" t="s">
        <v>55</v>
      </c>
      <c r="F336" s="128" t="s">
        <v>210</v>
      </c>
      <c r="G336" s="129">
        <v>3012.57</v>
      </c>
      <c r="H336" s="129">
        <v>1216.8699999999999</v>
      </c>
      <c r="I336" s="129">
        <v>1200</v>
      </c>
      <c r="J336" s="129">
        <v>1487</v>
      </c>
      <c r="K336" s="129">
        <v>1490</v>
      </c>
      <c r="L336" s="129"/>
      <c r="M336" s="129"/>
      <c r="N336" s="129"/>
      <c r="O336" s="129"/>
      <c r="P336" s="129">
        <f>K336+SUM(L336:O336)</f>
        <v>1490</v>
      </c>
      <c r="Q336" s="129">
        <v>320.94</v>
      </c>
      <c r="R336" s="130">
        <f>IFERROR(Q336/$P336,0)</f>
        <v>0.2153959731543624</v>
      </c>
      <c r="S336" s="129"/>
      <c r="T336" s="130">
        <f>IFERROR(S336/$P336,0)</f>
        <v>0</v>
      </c>
      <c r="U336" s="129"/>
      <c r="V336" s="130">
        <f>IFERROR(U336/$P336,0)</f>
        <v>0</v>
      </c>
      <c r="W336" s="129"/>
      <c r="X336" s="131">
        <f>IFERROR(W336/$P336,0)</f>
        <v>0</v>
      </c>
      <c r="Y336" s="129">
        <f>K336</f>
        <v>1490</v>
      </c>
      <c r="Z336" s="132">
        <f>Y336</f>
        <v>1490</v>
      </c>
    </row>
    <row r="338" spans="1:26" ht="13.9" customHeight="1" x14ac:dyDescent="0.25">
      <c r="D338" s="72" t="s">
        <v>211</v>
      </c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3"/>
      <c r="S338" s="72"/>
      <c r="T338" s="73"/>
      <c r="U338" s="72"/>
      <c r="V338" s="73"/>
      <c r="W338" s="72"/>
      <c r="X338" s="73"/>
      <c r="Y338" s="72"/>
      <c r="Z338" s="72"/>
    </row>
    <row r="339" spans="1:26" ht="13.9" customHeight="1" x14ac:dyDescent="0.25">
      <c r="D339" s="21" t="s">
        <v>32</v>
      </c>
      <c r="E339" s="21" t="s">
        <v>33</v>
      </c>
      <c r="F339" s="21" t="s">
        <v>34</v>
      </c>
      <c r="G339" s="21" t="s">
        <v>1</v>
      </c>
      <c r="H339" s="21" t="s">
        <v>2</v>
      </c>
      <c r="I339" s="21" t="s">
        <v>3</v>
      </c>
      <c r="J339" s="21" t="s">
        <v>4</v>
      </c>
      <c r="K339" s="21" t="s">
        <v>5</v>
      </c>
      <c r="L339" s="21" t="s">
        <v>6</v>
      </c>
      <c r="M339" s="21" t="s">
        <v>7</v>
      </c>
      <c r="N339" s="21" t="s">
        <v>8</v>
      </c>
      <c r="O339" s="21" t="s">
        <v>9</v>
      </c>
      <c r="P339" s="21" t="s">
        <v>10</v>
      </c>
      <c r="Q339" s="21" t="s">
        <v>11</v>
      </c>
      <c r="R339" s="22" t="s">
        <v>12</v>
      </c>
      <c r="S339" s="21" t="s">
        <v>13</v>
      </c>
      <c r="T339" s="22" t="s">
        <v>14</v>
      </c>
      <c r="U339" s="21" t="s">
        <v>15</v>
      </c>
      <c r="V339" s="22" t="s">
        <v>16</v>
      </c>
      <c r="W339" s="21" t="s">
        <v>17</v>
      </c>
      <c r="X339" s="22" t="s">
        <v>18</v>
      </c>
      <c r="Y339" s="21" t="s">
        <v>19</v>
      </c>
      <c r="Z339" s="21" t="s">
        <v>20</v>
      </c>
    </row>
    <row r="340" spans="1:26" ht="13.9" hidden="1" customHeight="1" x14ac:dyDescent="0.25">
      <c r="A340" s="15">
        <v>5</v>
      </c>
      <c r="B340" s="15">
        <v>2</v>
      </c>
      <c r="C340" s="15">
        <v>3</v>
      </c>
      <c r="D340" s="3" t="s">
        <v>209</v>
      </c>
      <c r="E340" s="24">
        <v>610</v>
      </c>
      <c r="F340" s="24" t="s">
        <v>127</v>
      </c>
      <c r="G340" s="25">
        <v>0</v>
      </c>
      <c r="H340" s="25">
        <v>0</v>
      </c>
      <c r="I340" s="25">
        <v>0</v>
      </c>
      <c r="J340" s="25">
        <v>400</v>
      </c>
      <c r="K340" s="25">
        <v>0</v>
      </c>
      <c r="L340" s="25"/>
      <c r="M340" s="25"/>
      <c r="N340" s="25"/>
      <c r="O340" s="25"/>
      <c r="P340" s="25">
        <f>K340+SUM(L340:O340)</f>
        <v>0</v>
      </c>
      <c r="Q340" s="25"/>
      <c r="R340" s="26">
        <f t="shared" ref="R340:R349" si="186">IFERROR(Q340/$P340,0)</f>
        <v>0</v>
      </c>
      <c r="S340" s="25"/>
      <c r="T340" s="26">
        <f t="shared" ref="T340:T349" si="187">IFERROR(S340/$P340,0)</f>
        <v>0</v>
      </c>
      <c r="U340" s="25"/>
      <c r="V340" s="26">
        <f t="shared" ref="V340:V349" si="188">IFERROR(U340/$P340,0)</f>
        <v>0</v>
      </c>
      <c r="W340" s="25"/>
      <c r="X340" s="26">
        <f t="shared" ref="X340:X349" si="189">IFERROR(W340/$P340,0)</f>
        <v>0</v>
      </c>
      <c r="Y340" s="25">
        <v>0</v>
      </c>
      <c r="Z340" s="25">
        <f>Y340</f>
        <v>0</v>
      </c>
    </row>
    <row r="341" spans="1:26" ht="13.9" hidden="1" customHeight="1" x14ac:dyDescent="0.25">
      <c r="A341" s="15">
        <v>5</v>
      </c>
      <c r="B341" s="15">
        <v>2</v>
      </c>
      <c r="C341" s="15">
        <v>3</v>
      </c>
      <c r="D341" s="3"/>
      <c r="E341" s="24">
        <v>620</v>
      </c>
      <c r="F341" s="24" t="s">
        <v>128</v>
      </c>
      <c r="G341" s="25">
        <v>0</v>
      </c>
      <c r="H341" s="25">
        <v>0</v>
      </c>
      <c r="I341" s="25">
        <v>0</v>
      </c>
      <c r="J341" s="25">
        <v>144</v>
      </c>
      <c r="K341" s="25">
        <v>0</v>
      </c>
      <c r="L341" s="25"/>
      <c r="M341" s="25"/>
      <c r="N341" s="25"/>
      <c r="O341" s="25"/>
      <c r="P341" s="25">
        <f>K341+SUM(L341:O341)</f>
        <v>0</v>
      </c>
      <c r="Q341" s="25"/>
      <c r="R341" s="26">
        <f t="shared" si="186"/>
        <v>0</v>
      </c>
      <c r="S341" s="25"/>
      <c r="T341" s="26">
        <f t="shared" si="187"/>
        <v>0</v>
      </c>
      <c r="U341" s="25"/>
      <c r="V341" s="26">
        <f t="shared" si="188"/>
        <v>0</v>
      </c>
      <c r="W341" s="25"/>
      <c r="X341" s="26">
        <f t="shared" si="189"/>
        <v>0</v>
      </c>
      <c r="Y341" s="25">
        <v>0</v>
      </c>
      <c r="Z341" s="25">
        <f>Y341</f>
        <v>0</v>
      </c>
    </row>
    <row r="342" spans="1:26" ht="13.9" hidden="1" customHeight="1" x14ac:dyDescent="0.25">
      <c r="A342" s="15">
        <v>5</v>
      </c>
      <c r="B342" s="15">
        <v>2</v>
      </c>
      <c r="C342" s="15">
        <v>3</v>
      </c>
      <c r="D342" s="111" t="s">
        <v>21</v>
      </c>
      <c r="E342" s="85">
        <v>111</v>
      </c>
      <c r="F342" s="47" t="s">
        <v>45</v>
      </c>
      <c r="G342" s="48">
        <f t="shared" ref="G342:Q342" si="190">SUM(G340:G341)</f>
        <v>0</v>
      </c>
      <c r="H342" s="48">
        <f t="shared" si="190"/>
        <v>0</v>
      </c>
      <c r="I342" s="48">
        <f t="shared" si="190"/>
        <v>0</v>
      </c>
      <c r="J342" s="48">
        <f t="shared" si="190"/>
        <v>544</v>
      </c>
      <c r="K342" s="48">
        <f t="shared" si="190"/>
        <v>0</v>
      </c>
      <c r="L342" s="48">
        <f t="shared" si="190"/>
        <v>0</v>
      </c>
      <c r="M342" s="48">
        <f t="shared" si="190"/>
        <v>0</v>
      </c>
      <c r="N342" s="48">
        <f t="shared" si="190"/>
        <v>0</v>
      </c>
      <c r="O342" s="48">
        <f t="shared" si="190"/>
        <v>0</v>
      </c>
      <c r="P342" s="48">
        <f t="shared" si="190"/>
        <v>0</v>
      </c>
      <c r="Q342" s="48">
        <f t="shared" si="190"/>
        <v>0</v>
      </c>
      <c r="R342" s="49">
        <f t="shared" si="186"/>
        <v>0</v>
      </c>
      <c r="S342" s="48">
        <f>SUM(S340:S341)</f>
        <v>0</v>
      </c>
      <c r="T342" s="49">
        <f t="shared" si="187"/>
        <v>0</v>
      </c>
      <c r="U342" s="48">
        <f>SUM(U340:U341)</f>
        <v>0</v>
      </c>
      <c r="V342" s="49">
        <f t="shared" si="188"/>
        <v>0</v>
      </c>
      <c r="W342" s="48">
        <f>SUM(W340:W341)</f>
        <v>0</v>
      </c>
      <c r="X342" s="49">
        <f t="shared" si="189"/>
        <v>0</v>
      </c>
      <c r="Y342" s="48">
        <f>SUM(Y340:Y341)</f>
        <v>0</v>
      </c>
      <c r="Z342" s="48">
        <f>SUM(Z340:Z341)</f>
        <v>0</v>
      </c>
    </row>
    <row r="343" spans="1:26" ht="13.9" customHeight="1" x14ac:dyDescent="0.25">
      <c r="A343" s="15">
        <v>5</v>
      </c>
      <c r="B343" s="15">
        <v>2</v>
      </c>
      <c r="C343" s="15">
        <v>3</v>
      </c>
      <c r="D343" s="3" t="s">
        <v>209</v>
      </c>
      <c r="E343" s="24">
        <v>610</v>
      </c>
      <c r="F343" s="24" t="s">
        <v>127</v>
      </c>
      <c r="G343" s="25">
        <v>2450</v>
      </c>
      <c r="H343" s="25">
        <v>4832</v>
      </c>
      <c r="I343" s="25">
        <v>10526</v>
      </c>
      <c r="J343" s="25">
        <v>5220</v>
      </c>
      <c r="K343" s="25">
        <v>4569</v>
      </c>
      <c r="L343" s="25"/>
      <c r="M343" s="25"/>
      <c r="N343" s="25"/>
      <c r="O343" s="25"/>
      <c r="P343" s="25">
        <f>K343+SUM(L343:O343)</f>
        <v>4569</v>
      </c>
      <c r="Q343" s="25">
        <v>1323</v>
      </c>
      <c r="R343" s="26">
        <f t="shared" si="186"/>
        <v>0.28956007879185819</v>
      </c>
      <c r="S343" s="25"/>
      <c r="T343" s="26">
        <f t="shared" si="187"/>
        <v>0</v>
      </c>
      <c r="U343" s="25"/>
      <c r="V343" s="26">
        <f t="shared" si="188"/>
        <v>0</v>
      </c>
      <c r="W343" s="25"/>
      <c r="X343" s="26">
        <f t="shared" si="189"/>
        <v>0</v>
      </c>
      <c r="Y343" s="25">
        <v>4780</v>
      </c>
      <c r="Z343" s="25">
        <v>5001</v>
      </c>
    </row>
    <row r="344" spans="1:26" ht="13.9" customHeight="1" x14ac:dyDescent="0.25">
      <c r="A344" s="15">
        <v>5</v>
      </c>
      <c r="B344" s="15">
        <v>2</v>
      </c>
      <c r="C344" s="15">
        <v>3</v>
      </c>
      <c r="D344" s="3"/>
      <c r="E344" s="24">
        <v>620</v>
      </c>
      <c r="F344" s="24" t="s">
        <v>128</v>
      </c>
      <c r="G344" s="25">
        <v>819.49</v>
      </c>
      <c r="H344" s="25">
        <v>1733.46</v>
      </c>
      <c r="I344" s="25">
        <v>3784</v>
      </c>
      <c r="J344" s="25">
        <v>1877</v>
      </c>
      <c r="K344" s="25">
        <v>1644</v>
      </c>
      <c r="L344" s="25"/>
      <c r="M344" s="25"/>
      <c r="N344" s="25"/>
      <c r="O344" s="25"/>
      <c r="P344" s="25">
        <f>K344+SUM(L344:O344)</f>
        <v>1644</v>
      </c>
      <c r="Q344" s="25">
        <v>475.55</v>
      </c>
      <c r="R344" s="26">
        <f t="shared" si="186"/>
        <v>0.28926399026763994</v>
      </c>
      <c r="S344" s="25"/>
      <c r="T344" s="26">
        <f t="shared" si="187"/>
        <v>0</v>
      </c>
      <c r="U344" s="25"/>
      <c r="V344" s="26">
        <f t="shared" si="188"/>
        <v>0</v>
      </c>
      <c r="W344" s="25"/>
      <c r="X344" s="26">
        <f t="shared" si="189"/>
        <v>0</v>
      </c>
      <c r="Y344" s="25">
        <v>1718</v>
      </c>
      <c r="Z344" s="25">
        <v>1798</v>
      </c>
    </row>
    <row r="345" spans="1:26" ht="13.9" customHeight="1" x14ac:dyDescent="0.25">
      <c r="A345" s="15">
        <v>5</v>
      </c>
      <c r="B345" s="15">
        <v>2</v>
      </c>
      <c r="C345" s="15">
        <v>3</v>
      </c>
      <c r="D345" s="3"/>
      <c r="E345" s="24">
        <v>630</v>
      </c>
      <c r="F345" s="24" t="s">
        <v>129</v>
      </c>
      <c r="G345" s="25">
        <v>24.53</v>
      </c>
      <c r="H345" s="25">
        <v>46.99</v>
      </c>
      <c r="I345" s="25">
        <v>248</v>
      </c>
      <c r="J345" s="25">
        <v>56</v>
      </c>
      <c r="K345" s="25">
        <f>42</f>
        <v>42</v>
      </c>
      <c r="L345" s="25"/>
      <c r="M345" s="25"/>
      <c r="N345" s="25"/>
      <c r="O345" s="25"/>
      <c r="P345" s="25">
        <f>K345+SUM(L345:O345)</f>
        <v>42</v>
      </c>
      <c r="Q345" s="25">
        <v>11.42</v>
      </c>
      <c r="R345" s="26">
        <f t="shared" si="186"/>
        <v>0.27190476190476193</v>
      </c>
      <c r="S345" s="25"/>
      <c r="T345" s="26">
        <f t="shared" si="187"/>
        <v>0</v>
      </c>
      <c r="U345" s="25"/>
      <c r="V345" s="26">
        <f t="shared" si="188"/>
        <v>0</v>
      </c>
      <c r="W345" s="25"/>
      <c r="X345" s="26">
        <f t="shared" si="189"/>
        <v>0</v>
      </c>
      <c r="Y345" s="25">
        <f>43</f>
        <v>43</v>
      </c>
      <c r="Z345" s="25">
        <f>47</f>
        <v>47</v>
      </c>
    </row>
    <row r="346" spans="1:26" ht="13.9" customHeight="1" x14ac:dyDescent="0.25">
      <c r="A346" s="15">
        <v>5</v>
      </c>
      <c r="B346" s="15">
        <v>2</v>
      </c>
      <c r="C346" s="15">
        <v>3</v>
      </c>
      <c r="D346" s="111" t="s">
        <v>21</v>
      </c>
      <c r="E346" s="47">
        <v>41</v>
      </c>
      <c r="F346" s="47" t="s">
        <v>23</v>
      </c>
      <c r="G346" s="48">
        <f t="shared" ref="G346:Q346" si="191">SUM(G343:G345)</f>
        <v>3294.02</v>
      </c>
      <c r="H346" s="48">
        <f t="shared" si="191"/>
        <v>6612.45</v>
      </c>
      <c r="I346" s="48">
        <f t="shared" si="191"/>
        <v>14558</v>
      </c>
      <c r="J346" s="48">
        <f t="shared" si="191"/>
        <v>7153</v>
      </c>
      <c r="K346" s="48">
        <f t="shared" si="191"/>
        <v>6255</v>
      </c>
      <c r="L346" s="48">
        <f t="shared" si="191"/>
        <v>0</v>
      </c>
      <c r="M346" s="48">
        <f t="shared" si="191"/>
        <v>0</v>
      </c>
      <c r="N346" s="48">
        <f t="shared" si="191"/>
        <v>0</v>
      </c>
      <c r="O346" s="48">
        <f t="shared" si="191"/>
        <v>0</v>
      </c>
      <c r="P346" s="48">
        <f t="shared" si="191"/>
        <v>6255</v>
      </c>
      <c r="Q346" s="48">
        <f t="shared" si="191"/>
        <v>1809.97</v>
      </c>
      <c r="R346" s="49">
        <f t="shared" si="186"/>
        <v>0.28936370903277381</v>
      </c>
      <c r="S346" s="48">
        <f>SUM(S343:S345)</f>
        <v>0</v>
      </c>
      <c r="T346" s="49">
        <f t="shared" si="187"/>
        <v>0</v>
      </c>
      <c r="U346" s="48">
        <f>SUM(U343:U345)</f>
        <v>0</v>
      </c>
      <c r="V346" s="49">
        <f t="shared" si="188"/>
        <v>0</v>
      </c>
      <c r="W346" s="48">
        <f>SUM(W343:W345)</f>
        <v>0</v>
      </c>
      <c r="X346" s="49">
        <f t="shared" si="189"/>
        <v>0</v>
      </c>
      <c r="Y346" s="48">
        <f>SUM(Y343:Y345)</f>
        <v>6541</v>
      </c>
      <c r="Z346" s="48">
        <f>SUM(Z343:Z345)</f>
        <v>6846</v>
      </c>
    </row>
    <row r="347" spans="1:26" ht="13.9" customHeight="1" x14ac:dyDescent="0.25">
      <c r="A347" s="15">
        <v>5</v>
      </c>
      <c r="B347" s="15">
        <v>2</v>
      </c>
      <c r="C347" s="15">
        <v>3</v>
      </c>
      <c r="D347" s="134" t="s">
        <v>209</v>
      </c>
      <c r="E347" s="24">
        <v>640</v>
      </c>
      <c r="F347" s="24" t="s">
        <v>130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/>
      <c r="M347" s="25"/>
      <c r="N347" s="25"/>
      <c r="O347" s="25"/>
      <c r="P347" s="25">
        <f>K347+SUM(L347:O347)</f>
        <v>0</v>
      </c>
      <c r="Q347" s="25">
        <v>0</v>
      </c>
      <c r="R347" s="26">
        <f t="shared" si="186"/>
        <v>0</v>
      </c>
      <c r="S347" s="25"/>
      <c r="T347" s="26">
        <f t="shared" si="187"/>
        <v>0</v>
      </c>
      <c r="U347" s="25"/>
      <c r="V347" s="26">
        <f t="shared" si="188"/>
        <v>0</v>
      </c>
      <c r="W347" s="25"/>
      <c r="X347" s="26">
        <f t="shared" si="189"/>
        <v>0</v>
      </c>
      <c r="Y347" s="25">
        <v>0</v>
      </c>
      <c r="Z347" s="25">
        <v>0</v>
      </c>
    </row>
    <row r="348" spans="1:26" ht="13.9" customHeight="1" x14ac:dyDescent="0.25">
      <c r="A348" s="15">
        <v>5</v>
      </c>
      <c r="B348" s="15">
        <v>2</v>
      </c>
      <c r="C348" s="15">
        <v>3</v>
      </c>
      <c r="D348" s="111" t="s">
        <v>21</v>
      </c>
      <c r="E348" s="47">
        <v>72</v>
      </c>
      <c r="F348" s="47" t="s">
        <v>25</v>
      </c>
      <c r="G348" s="48">
        <f t="shared" ref="G348:Q348" si="192">SUM(G347)</f>
        <v>0</v>
      </c>
      <c r="H348" s="48">
        <f t="shared" si="192"/>
        <v>0</v>
      </c>
      <c r="I348" s="48">
        <f t="shared" si="192"/>
        <v>0</v>
      </c>
      <c r="J348" s="48">
        <f t="shared" si="192"/>
        <v>0</v>
      </c>
      <c r="K348" s="48">
        <f t="shared" si="192"/>
        <v>0</v>
      </c>
      <c r="L348" s="48">
        <f t="shared" si="192"/>
        <v>0</v>
      </c>
      <c r="M348" s="48">
        <f t="shared" si="192"/>
        <v>0</v>
      </c>
      <c r="N348" s="48">
        <f t="shared" si="192"/>
        <v>0</v>
      </c>
      <c r="O348" s="48">
        <f t="shared" si="192"/>
        <v>0</v>
      </c>
      <c r="P348" s="48">
        <f t="shared" si="192"/>
        <v>0</v>
      </c>
      <c r="Q348" s="48">
        <f t="shared" si="192"/>
        <v>0</v>
      </c>
      <c r="R348" s="49">
        <f t="shared" si="186"/>
        <v>0</v>
      </c>
      <c r="S348" s="48">
        <f>SUM(S347)</f>
        <v>0</v>
      </c>
      <c r="T348" s="49">
        <f t="shared" si="187"/>
        <v>0</v>
      </c>
      <c r="U348" s="48">
        <f>SUM(U347)</f>
        <v>0</v>
      </c>
      <c r="V348" s="49">
        <f t="shared" si="188"/>
        <v>0</v>
      </c>
      <c r="W348" s="48">
        <f>SUM(W347)</f>
        <v>0</v>
      </c>
      <c r="X348" s="49">
        <f t="shared" si="189"/>
        <v>0</v>
      </c>
      <c r="Y348" s="48">
        <f>SUM(Y347)</f>
        <v>0</v>
      </c>
      <c r="Z348" s="48">
        <f>SUM(Z347)</f>
        <v>0</v>
      </c>
    </row>
    <row r="349" spans="1:26" ht="13.9" customHeight="1" x14ac:dyDescent="0.25">
      <c r="A349" s="15">
        <v>5</v>
      </c>
      <c r="B349" s="15">
        <v>2</v>
      </c>
      <c r="C349" s="15">
        <v>3</v>
      </c>
      <c r="D349" s="30"/>
      <c r="E349" s="31"/>
      <c r="F349" s="27" t="s">
        <v>122</v>
      </c>
      <c r="G349" s="28">
        <f t="shared" ref="G349:Q349" si="193">G342+G346+G348</f>
        <v>3294.02</v>
      </c>
      <c r="H349" s="28">
        <f t="shared" si="193"/>
        <v>6612.45</v>
      </c>
      <c r="I349" s="28">
        <f t="shared" si="193"/>
        <v>14558</v>
      </c>
      <c r="J349" s="28">
        <f t="shared" si="193"/>
        <v>7697</v>
      </c>
      <c r="K349" s="28">
        <f t="shared" si="193"/>
        <v>6255</v>
      </c>
      <c r="L349" s="28">
        <f t="shared" si="193"/>
        <v>0</v>
      </c>
      <c r="M349" s="28">
        <f t="shared" si="193"/>
        <v>0</v>
      </c>
      <c r="N349" s="28">
        <f t="shared" si="193"/>
        <v>0</v>
      </c>
      <c r="O349" s="28">
        <f t="shared" si="193"/>
        <v>0</v>
      </c>
      <c r="P349" s="28">
        <f t="shared" si="193"/>
        <v>6255</v>
      </c>
      <c r="Q349" s="28">
        <f t="shared" si="193"/>
        <v>1809.97</v>
      </c>
      <c r="R349" s="29">
        <f t="shared" si="186"/>
        <v>0.28936370903277381</v>
      </c>
      <c r="S349" s="28">
        <f>S342+S346+S348</f>
        <v>0</v>
      </c>
      <c r="T349" s="29">
        <f t="shared" si="187"/>
        <v>0</v>
      </c>
      <c r="U349" s="28">
        <f>U342+U346+U348</f>
        <v>0</v>
      </c>
      <c r="V349" s="29">
        <f t="shared" si="188"/>
        <v>0</v>
      </c>
      <c r="W349" s="28">
        <f>W342+W346+W348</f>
        <v>0</v>
      </c>
      <c r="X349" s="29">
        <f t="shared" si="189"/>
        <v>0</v>
      </c>
      <c r="Y349" s="28">
        <f>Y342+Y346+Y348</f>
        <v>6541</v>
      </c>
      <c r="Z349" s="28">
        <f>Z342+Z346+Z348</f>
        <v>6846</v>
      </c>
    </row>
    <row r="351" spans="1:26" ht="13.9" customHeight="1" x14ac:dyDescent="0.25">
      <c r="D351" s="32" t="s">
        <v>212</v>
      </c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3"/>
      <c r="S351" s="32"/>
      <c r="T351" s="33"/>
      <c r="U351" s="32"/>
      <c r="V351" s="33"/>
      <c r="W351" s="32"/>
      <c r="X351" s="33"/>
      <c r="Y351" s="32"/>
      <c r="Z351" s="32"/>
    </row>
    <row r="352" spans="1:26" ht="13.9" customHeight="1" x14ac:dyDescent="0.25">
      <c r="D352" s="20"/>
      <c r="E352" s="20"/>
      <c r="F352" s="20"/>
      <c r="G352" s="21" t="s">
        <v>1</v>
      </c>
      <c r="H352" s="21" t="s">
        <v>2</v>
      </c>
      <c r="I352" s="21" t="s">
        <v>3</v>
      </c>
      <c r="J352" s="21" t="s">
        <v>4</v>
      </c>
      <c r="K352" s="21" t="s">
        <v>5</v>
      </c>
      <c r="L352" s="21" t="s">
        <v>6</v>
      </c>
      <c r="M352" s="21" t="s">
        <v>7</v>
      </c>
      <c r="N352" s="21" t="s">
        <v>8</v>
      </c>
      <c r="O352" s="21" t="s">
        <v>9</v>
      </c>
      <c r="P352" s="21" t="s">
        <v>10</v>
      </c>
      <c r="Q352" s="21" t="s">
        <v>11</v>
      </c>
      <c r="R352" s="22" t="s">
        <v>12</v>
      </c>
      <c r="S352" s="21" t="s">
        <v>13</v>
      </c>
      <c r="T352" s="22" t="s">
        <v>14</v>
      </c>
      <c r="U352" s="21" t="s">
        <v>15</v>
      </c>
      <c r="V352" s="22" t="s">
        <v>16</v>
      </c>
      <c r="W352" s="21" t="s">
        <v>17</v>
      </c>
      <c r="X352" s="22" t="s">
        <v>18</v>
      </c>
      <c r="Y352" s="21" t="s">
        <v>19</v>
      </c>
      <c r="Z352" s="21" t="s">
        <v>20</v>
      </c>
    </row>
    <row r="353" spans="1:26" ht="13.9" customHeight="1" x14ac:dyDescent="0.25">
      <c r="A353" s="15">
        <v>6</v>
      </c>
      <c r="D353" s="12" t="s">
        <v>21</v>
      </c>
      <c r="E353" s="35">
        <v>111</v>
      </c>
      <c r="F353" s="35" t="s">
        <v>132</v>
      </c>
      <c r="G353" s="36">
        <f t="shared" ref="G353:Q353" si="194">G359+G389+G425</f>
        <v>1030.4100000000001</v>
      </c>
      <c r="H353" s="36">
        <f t="shared" si="194"/>
        <v>0</v>
      </c>
      <c r="I353" s="36">
        <f t="shared" si="194"/>
        <v>0</v>
      </c>
      <c r="J353" s="36">
        <f t="shared" si="194"/>
        <v>0</v>
      </c>
      <c r="K353" s="36">
        <f t="shared" si="194"/>
        <v>0</v>
      </c>
      <c r="L353" s="36">
        <f t="shared" si="194"/>
        <v>0</v>
      </c>
      <c r="M353" s="36">
        <f t="shared" si="194"/>
        <v>0</v>
      </c>
      <c r="N353" s="36">
        <f t="shared" si="194"/>
        <v>0</v>
      </c>
      <c r="O353" s="36">
        <f t="shared" si="194"/>
        <v>0</v>
      </c>
      <c r="P353" s="36">
        <f t="shared" si="194"/>
        <v>0</v>
      </c>
      <c r="Q353" s="36">
        <f t="shared" si="194"/>
        <v>0</v>
      </c>
      <c r="R353" s="37">
        <f>IFERROR(Q353/$P353,0)</f>
        <v>0</v>
      </c>
      <c r="S353" s="36">
        <f>S359+S389+S425</f>
        <v>0</v>
      </c>
      <c r="T353" s="37">
        <f>IFERROR(S353/$P353,0)</f>
        <v>0</v>
      </c>
      <c r="U353" s="36">
        <f>U359+U389+U425</f>
        <v>0</v>
      </c>
      <c r="V353" s="37">
        <f>IFERROR(U353/$P353,0)</f>
        <v>0</v>
      </c>
      <c r="W353" s="36">
        <f>W359+W389+W425</f>
        <v>0</v>
      </c>
      <c r="X353" s="37">
        <f>IFERROR(W353/$P353,0)</f>
        <v>0</v>
      </c>
      <c r="Y353" s="36">
        <f>Y359+Y389+Y425</f>
        <v>0</v>
      </c>
      <c r="Z353" s="36">
        <f>Z359+Z389+Z425</f>
        <v>0</v>
      </c>
    </row>
    <row r="354" spans="1:26" ht="13.9" customHeight="1" x14ac:dyDescent="0.25">
      <c r="A354" s="15">
        <v>6</v>
      </c>
      <c r="D354" s="12" t="s">
        <v>21</v>
      </c>
      <c r="E354" s="35">
        <v>41</v>
      </c>
      <c r="F354" s="35" t="s">
        <v>23</v>
      </c>
      <c r="G354" s="36">
        <f t="shared" ref="G354:Q354" si="195">G360+G390+G426</f>
        <v>46795.770000000004</v>
      </c>
      <c r="H354" s="36">
        <f t="shared" si="195"/>
        <v>50024.420000000006</v>
      </c>
      <c r="I354" s="36">
        <f t="shared" si="195"/>
        <v>49735</v>
      </c>
      <c r="J354" s="36">
        <f t="shared" si="195"/>
        <v>43003</v>
      </c>
      <c r="K354" s="36">
        <f t="shared" si="195"/>
        <v>44907</v>
      </c>
      <c r="L354" s="36">
        <f t="shared" si="195"/>
        <v>0</v>
      </c>
      <c r="M354" s="36">
        <f t="shared" si="195"/>
        <v>0</v>
      </c>
      <c r="N354" s="36">
        <f t="shared" si="195"/>
        <v>0</v>
      </c>
      <c r="O354" s="36">
        <f t="shared" si="195"/>
        <v>0</v>
      </c>
      <c r="P354" s="36">
        <f t="shared" si="195"/>
        <v>44907</v>
      </c>
      <c r="Q354" s="36">
        <f t="shared" si="195"/>
        <v>14582.25</v>
      </c>
      <c r="R354" s="37">
        <f>IFERROR(Q354/$P354,0)</f>
        <v>0.3247210902531899</v>
      </c>
      <c r="S354" s="36">
        <f>S360+S390+S426</f>
        <v>0</v>
      </c>
      <c r="T354" s="37">
        <f>IFERROR(S354/$P354,0)</f>
        <v>0</v>
      </c>
      <c r="U354" s="36">
        <f>U360+U390+U426</f>
        <v>0</v>
      </c>
      <c r="V354" s="37">
        <f>IFERROR(U354/$P354,0)</f>
        <v>0</v>
      </c>
      <c r="W354" s="36">
        <f>W360+W390+W426</f>
        <v>0</v>
      </c>
      <c r="X354" s="37">
        <f>IFERROR(W354/$P354,0)</f>
        <v>0</v>
      </c>
      <c r="Y354" s="36">
        <f>Y360+Y390+Y426</f>
        <v>44907</v>
      </c>
      <c r="Z354" s="36">
        <f>Z360+Z390+Z426</f>
        <v>44907</v>
      </c>
    </row>
    <row r="355" spans="1:26" ht="13.9" customHeight="1" x14ac:dyDescent="0.25">
      <c r="A355" s="15">
        <v>6</v>
      </c>
      <c r="D355" s="30"/>
      <c r="E355" s="31"/>
      <c r="F355" s="38" t="s">
        <v>122</v>
      </c>
      <c r="G355" s="39">
        <f t="shared" ref="G355:Q355" si="196">SUM(G353:G354)</f>
        <v>47826.180000000008</v>
      </c>
      <c r="H355" s="39">
        <f t="shared" si="196"/>
        <v>50024.420000000006</v>
      </c>
      <c r="I355" s="39">
        <f t="shared" si="196"/>
        <v>49735</v>
      </c>
      <c r="J355" s="39">
        <f t="shared" si="196"/>
        <v>43003</v>
      </c>
      <c r="K355" s="39">
        <f t="shared" si="196"/>
        <v>44907</v>
      </c>
      <c r="L355" s="39">
        <f t="shared" si="196"/>
        <v>0</v>
      </c>
      <c r="M355" s="39">
        <f t="shared" si="196"/>
        <v>0</v>
      </c>
      <c r="N355" s="39">
        <f t="shared" si="196"/>
        <v>0</v>
      </c>
      <c r="O355" s="39">
        <f t="shared" si="196"/>
        <v>0</v>
      </c>
      <c r="P355" s="39">
        <f t="shared" si="196"/>
        <v>44907</v>
      </c>
      <c r="Q355" s="39">
        <f t="shared" si="196"/>
        <v>14582.25</v>
      </c>
      <c r="R355" s="40">
        <f>IFERROR(Q355/$P355,0)</f>
        <v>0.3247210902531899</v>
      </c>
      <c r="S355" s="39">
        <f>SUM(S353:S354)</f>
        <v>0</v>
      </c>
      <c r="T355" s="40">
        <f>IFERROR(S355/$P355,0)</f>
        <v>0</v>
      </c>
      <c r="U355" s="39">
        <f>SUM(U353:U354)</f>
        <v>0</v>
      </c>
      <c r="V355" s="40">
        <f>IFERROR(U355/$P355,0)</f>
        <v>0</v>
      </c>
      <c r="W355" s="39">
        <f>SUM(W353:W354)</f>
        <v>0</v>
      </c>
      <c r="X355" s="40">
        <f>IFERROR(W355/$P355,0)</f>
        <v>0</v>
      </c>
      <c r="Y355" s="39">
        <f>SUM(Y353:Y354)</f>
        <v>44907</v>
      </c>
      <c r="Z355" s="39">
        <f>SUM(Z353:Z354)</f>
        <v>44907</v>
      </c>
    </row>
    <row r="357" spans="1:26" ht="13.9" customHeight="1" x14ac:dyDescent="0.25">
      <c r="D357" s="41" t="s">
        <v>213</v>
      </c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2"/>
      <c r="S357" s="41"/>
      <c r="T357" s="42"/>
      <c r="U357" s="41"/>
      <c r="V357" s="42"/>
      <c r="W357" s="41"/>
      <c r="X357" s="42"/>
      <c r="Y357" s="41"/>
      <c r="Z357" s="41"/>
    </row>
    <row r="358" spans="1:26" ht="13.9" customHeight="1" x14ac:dyDescent="0.25">
      <c r="D358" s="127"/>
      <c r="E358" s="127"/>
      <c r="F358" s="127"/>
      <c r="G358" s="21" t="s">
        <v>1</v>
      </c>
      <c r="H358" s="21" t="s">
        <v>2</v>
      </c>
      <c r="I358" s="21" t="s">
        <v>3</v>
      </c>
      <c r="J358" s="21" t="s">
        <v>4</v>
      </c>
      <c r="K358" s="21" t="s">
        <v>5</v>
      </c>
      <c r="L358" s="21" t="s">
        <v>6</v>
      </c>
      <c r="M358" s="21" t="s">
        <v>7</v>
      </c>
      <c r="N358" s="21" t="s">
        <v>8</v>
      </c>
      <c r="O358" s="21" t="s">
        <v>9</v>
      </c>
      <c r="P358" s="21" t="s">
        <v>10</v>
      </c>
      <c r="Q358" s="21" t="s">
        <v>11</v>
      </c>
      <c r="R358" s="22" t="s">
        <v>12</v>
      </c>
      <c r="S358" s="21" t="s">
        <v>13</v>
      </c>
      <c r="T358" s="22" t="s">
        <v>14</v>
      </c>
      <c r="U358" s="21" t="s">
        <v>15</v>
      </c>
      <c r="V358" s="22" t="s">
        <v>16</v>
      </c>
      <c r="W358" s="21" t="s">
        <v>17</v>
      </c>
      <c r="X358" s="22" t="s">
        <v>18</v>
      </c>
      <c r="Y358" s="21" t="s">
        <v>19</v>
      </c>
      <c r="Z358" s="21" t="s">
        <v>20</v>
      </c>
    </row>
    <row r="359" spans="1:26" ht="13.9" customHeight="1" x14ac:dyDescent="0.25">
      <c r="A359" s="15">
        <v>6</v>
      </c>
      <c r="B359" s="15">
        <v>1</v>
      </c>
      <c r="D359" s="13" t="s">
        <v>21</v>
      </c>
      <c r="E359" s="24">
        <v>111</v>
      </c>
      <c r="F359" s="24" t="s">
        <v>132</v>
      </c>
      <c r="G359" s="25">
        <f t="shared" ref="G359:Q359" si="197">G366</f>
        <v>488.97</v>
      </c>
      <c r="H359" s="25">
        <f t="shared" si="197"/>
        <v>0</v>
      </c>
      <c r="I359" s="25">
        <f t="shared" si="197"/>
        <v>0</v>
      </c>
      <c r="J359" s="25">
        <f t="shared" si="197"/>
        <v>0</v>
      </c>
      <c r="K359" s="25">
        <f t="shared" si="197"/>
        <v>0</v>
      </c>
      <c r="L359" s="25">
        <f t="shared" si="197"/>
        <v>0</v>
      </c>
      <c r="M359" s="25">
        <f t="shared" si="197"/>
        <v>0</v>
      </c>
      <c r="N359" s="25">
        <f t="shared" si="197"/>
        <v>0</v>
      </c>
      <c r="O359" s="25">
        <f t="shared" si="197"/>
        <v>0</v>
      </c>
      <c r="P359" s="25">
        <f t="shared" si="197"/>
        <v>0</v>
      </c>
      <c r="Q359" s="25">
        <f t="shared" si="197"/>
        <v>0</v>
      </c>
      <c r="R359" s="26">
        <f>IFERROR(Q359/$P359,0)</f>
        <v>0</v>
      </c>
      <c r="S359" s="25">
        <f>S366</f>
        <v>0</v>
      </c>
      <c r="T359" s="26">
        <f>IFERROR(S359/$P359,0)</f>
        <v>0</v>
      </c>
      <c r="U359" s="25">
        <f>U366</f>
        <v>0</v>
      </c>
      <c r="V359" s="26">
        <f>IFERROR(U359/$P359,0)</f>
        <v>0</v>
      </c>
      <c r="W359" s="25">
        <f>W366</f>
        <v>0</v>
      </c>
      <c r="X359" s="26">
        <f>IFERROR(W359/$P359,0)</f>
        <v>0</v>
      </c>
      <c r="Y359" s="25">
        <f>Y366</f>
        <v>0</v>
      </c>
      <c r="Z359" s="25">
        <f>Z366</f>
        <v>0</v>
      </c>
    </row>
    <row r="360" spans="1:26" ht="13.9" customHeight="1" x14ac:dyDescent="0.25">
      <c r="A360" s="15">
        <v>6</v>
      </c>
      <c r="B360" s="15">
        <v>1</v>
      </c>
      <c r="D360" s="13" t="s">
        <v>21</v>
      </c>
      <c r="E360" s="24">
        <v>41</v>
      </c>
      <c r="F360" s="24" t="s">
        <v>23</v>
      </c>
      <c r="G360" s="25">
        <f t="shared" ref="G360:Q360" si="198">G370+G379</f>
        <v>22242.639999999999</v>
      </c>
      <c r="H360" s="25">
        <f t="shared" si="198"/>
        <v>23390.11</v>
      </c>
      <c r="I360" s="25">
        <f t="shared" si="198"/>
        <v>25007</v>
      </c>
      <c r="J360" s="25">
        <f t="shared" si="198"/>
        <v>21511</v>
      </c>
      <c r="K360" s="25">
        <f t="shared" si="198"/>
        <v>24602</v>
      </c>
      <c r="L360" s="25">
        <f t="shared" si="198"/>
        <v>0</v>
      </c>
      <c r="M360" s="25">
        <f t="shared" si="198"/>
        <v>0</v>
      </c>
      <c r="N360" s="25">
        <f t="shared" si="198"/>
        <v>0</v>
      </c>
      <c r="O360" s="25">
        <f t="shared" si="198"/>
        <v>0</v>
      </c>
      <c r="P360" s="25">
        <f t="shared" si="198"/>
        <v>24602</v>
      </c>
      <c r="Q360" s="25">
        <f t="shared" si="198"/>
        <v>10169.81</v>
      </c>
      <c r="R360" s="26">
        <f>IFERROR(Q360/$P360,0)</f>
        <v>0.41337330298349728</v>
      </c>
      <c r="S360" s="25">
        <f>S370+S379</f>
        <v>0</v>
      </c>
      <c r="T360" s="26">
        <f>IFERROR(S360/$P360,0)</f>
        <v>0</v>
      </c>
      <c r="U360" s="25">
        <f>U370+U379</f>
        <v>0</v>
      </c>
      <c r="V360" s="26">
        <f>IFERROR(U360/$P360,0)</f>
        <v>0</v>
      </c>
      <c r="W360" s="25">
        <f>W370+W379</f>
        <v>0</v>
      </c>
      <c r="X360" s="26">
        <f>IFERROR(W360/$P360,0)</f>
        <v>0</v>
      </c>
      <c r="Y360" s="25">
        <f>Y370+Y379</f>
        <v>24602</v>
      </c>
      <c r="Z360" s="25">
        <f>Z370+Z379</f>
        <v>24602</v>
      </c>
    </row>
    <row r="361" spans="1:26" ht="13.9" customHeight="1" x14ac:dyDescent="0.25">
      <c r="A361" s="15">
        <v>6</v>
      </c>
      <c r="B361" s="15">
        <v>1</v>
      </c>
      <c r="D361" s="30"/>
      <c r="E361" s="31"/>
      <c r="F361" s="27" t="s">
        <v>122</v>
      </c>
      <c r="G361" s="28">
        <f t="shared" ref="G361:Q361" si="199">SUM(G359:G360)</f>
        <v>22731.61</v>
      </c>
      <c r="H361" s="28">
        <f t="shared" si="199"/>
        <v>23390.11</v>
      </c>
      <c r="I361" s="28">
        <f t="shared" si="199"/>
        <v>25007</v>
      </c>
      <c r="J361" s="28">
        <f t="shared" si="199"/>
        <v>21511</v>
      </c>
      <c r="K361" s="28">
        <f t="shared" si="199"/>
        <v>24602</v>
      </c>
      <c r="L361" s="28">
        <f t="shared" si="199"/>
        <v>0</v>
      </c>
      <c r="M361" s="28">
        <f t="shared" si="199"/>
        <v>0</v>
      </c>
      <c r="N361" s="28">
        <f t="shared" si="199"/>
        <v>0</v>
      </c>
      <c r="O361" s="28">
        <f t="shared" si="199"/>
        <v>0</v>
      </c>
      <c r="P361" s="28">
        <f t="shared" si="199"/>
        <v>24602</v>
      </c>
      <c r="Q361" s="28">
        <f t="shared" si="199"/>
        <v>10169.81</v>
      </c>
      <c r="R361" s="29">
        <f>IFERROR(Q361/$P361,0)</f>
        <v>0.41337330298349728</v>
      </c>
      <c r="S361" s="28">
        <f>SUM(S359:S360)</f>
        <v>0</v>
      </c>
      <c r="T361" s="29">
        <f>IFERROR(S361/$P361,0)</f>
        <v>0</v>
      </c>
      <c r="U361" s="28">
        <f>SUM(U359:U360)</f>
        <v>0</v>
      </c>
      <c r="V361" s="29">
        <f>IFERROR(U361/$P361,0)</f>
        <v>0</v>
      </c>
      <c r="W361" s="28">
        <f>SUM(W359:W360)</f>
        <v>0</v>
      </c>
      <c r="X361" s="29">
        <f>IFERROR(W361/$P361,0)</f>
        <v>0</v>
      </c>
      <c r="Y361" s="28">
        <f>SUM(Y359:Y360)</f>
        <v>24602</v>
      </c>
      <c r="Z361" s="28">
        <f>SUM(Z359:Z360)</f>
        <v>24602</v>
      </c>
    </row>
    <row r="363" spans="1:26" ht="13.9" customHeight="1" x14ac:dyDescent="0.25">
      <c r="D363" s="72" t="s">
        <v>214</v>
      </c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3"/>
      <c r="S363" s="72"/>
      <c r="T363" s="73"/>
      <c r="U363" s="72"/>
      <c r="V363" s="73"/>
      <c r="W363" s="72"/>
      <c r="X363" s="73"/>
      <c r="Y363" s="72"/>
      <c r="Z363" s="72"/>
    </row>
    <row r="364" spans="1:26" ht="13.9" customHeight="1" x14ac:dyDescent="0.25">
      <c r="D364" s="21" t="s">
        <v>32</v>
      </c>
      <c r="E364" s="21" t="s">
        <v>33</v>
      </c>
      <c r="F364" s="21" t="s">
        <v>34</v>
      </c>
      <c r="G364" s="21" t="s">
        <v>1</v>
      </c>
      <c r="H364" s="21" t="s">
        <v>2</v>
      </c>
      <c r="I364" s="21" t="s">
        <v>3</v>
      </c>
      <c r="J364" s="21" t="s">
        <v>4</v>
      </c>
      <c r="K364" s="21" t="s">
        <v>5</v>
      </c>
      <c r="L364" s="21" t="s">
        <v>6</v>
      </c>
      <c r="M364" s="21" t="s">
        <v>7</v>
      </c>
      <c r="N364" s="21" t="s">
        <v>8</v>
      </c>
      <c r="O364" s="21" t="s">
        <v>9</v>
      </c>
      <c r="P364" s="21" t="s">
        <v>10</v>
      </c>
      <c r="Q364" s="21" t="s">
        <v>11</v>
      </c>
      <c r="R364" s="22" t="s">
        <v>12</v>
      </c>
      <c r="S364" s="21" t="s">
        <v>13</v>
      </c>
      <c r="T364" s="22" t="s">
        <v>14</v>
      </c>
      <c r="U364" s="21" t="s">
        <v>15</v>
      </c>
      <c r="V364" s="22" t="s">
        <v>16</v>
      </c>
      <c r="W364" s="21" t="s">
        <v>17</v>
      </c>
      <c r="X364" s="22" t="s">
        <v>18</v>
      </c>
      <c r="Y364" s="21" t="s">
        <v>19</v>
      </c>
      <c r="Z364" s="21" t="s">
        <v>20</v>
      </c>
    </row>
    <row r="365" spans="1:26" ht="13.9" hidden="1" customHeight="1" x14ac:dyDescent="0.25">
      <c r="A365" s="15">
        <v>6</v>
      </c>
      <c r="B365" s="15">
        <v>1</v>
      </c>
      <c r="C365" s="15">
        <v>1</v>
      </c>
      <c r="D365" s="84" t="s">
        <v>215</v>
      </c>
      <c r="E365" s="24">
        <v>630</v>
      </c>
      <c r="F365" s="24" t="s">
        <v>129</v>
      </c>
      <c r="G365" s="25">
        <v>488.97</v>
      </c>
      <c r="H365" s="25">
        <v>0</v>
      </c>
      <c r="I365" s="25">
        <v>0</v>
      </c>
      <c r="J365" s="25">
        <v>0</v>
      </c>
      <c r="K365" s="25">
        <v>0</v>
      </c>
      <c r="L365" s="25"/>
      <c r="M365" s="25"/>
      <c r="N365" s="25"/>
      <c r="O365" s="25"/>
      <c r="P365" s="25">
        <f>K365+SUM(L365:O365)</f>
        <v>0</v>
      </c>
      <c r="Q365" s="25"/>
      <c r="R365" s="26">
        <f t="shared" ref="R365:R371" si="200">IFERROR(Q365/$P365,0)</f>
        <v>0</v>
      </c>
      <c r="S365" s="25"/>
      <c r="T365" s="26">
        <f t="shared" ref="T365:T371" si="201">IFERROR(S365/$P365,0)</f>
        <v>0</v>
      </c>
      <c r="U365" s="25"/>
      <c r="V365" s="26">
        <f t="shared" ref="V365:V371" si="202">IFERROR(U365/$P365,0)</f>
        <v>0</v>
      </c>
      <c r="W365" s="25"/>
      <c r="X365" s="26">
        <f t="shared" ref="X365:X371" si="203">IFERROR(W365/$P365,0)</f>
        <v>0</v>
      </c>
      <c r="Y365" s="25">
        <v>0</v>
      </c>
      <c r="Z365" s="25">
        <f>Y365</f>
        <v>0</v>
      </c>
    </row>
    <row r="366" spans="1:26" ht="13.9" hidden="1" customHeight="1" x14ac:dyDescent="0.25">
      <c r="A366" s="15">
        <v>6</v>
      </c>
      <c r="B366" s="15">
        <v>1</v>
      </c>
      <c r="C366" s="15">
        <v>1</v>
      </c>
      <c r="D366" s="79" t="s">
        <v>21</v>
      </c>
      <c r="E366" s="85">
        <v>111</v>
      </c>
      <c r="F366" s="47" t="s">
        <v>132</v>
      </c>
      <c r="G366" s="48">
        <f t="shared" ref="G366:Q366" si="204">SUM(G365)</f>
        <v>488.97</v>
      </c>
      <c r="H366" s="48">
        <f t="shared" si="204"/>
        <v>0</v>
      </c>
      <c r="I366" s="48">
        <f t="shared" si="204"/>
        <v>0</v>
      </c>
      <c r="J366" s="48">
        <f t="shared" si="204"/>
        <v>0</v>
      </c>
      <c r="K366" s="48">
        <f t="shared" si="204"/>
        <v>0</v>
      </c>
      <c r="L366" s="48">
        <f t="shared" si="204"/>
        <v>0</v>
      </c>
      <c r="M366" s="48">
        <f t="shared" si="204"/>
        <v>0</v>
      </c>
      <c r="N366" s="48">
        <f t="shared" si="204"/>
        <v>0</v>
      </c>
      <c r="O366" s="48">
        <f t="shared" si="204"/>
        <v>0</v>
      </c>
      <c r="P366" s="48">
        <f t="shared" si="204"/>
        <v>0</v>
      </c>
      <c r="Q366" s="48">
        <f t="shared" si="204"/>
        <v>0</v>
      </c>
      <c r="R366" s="49">
        <f t="shared" si="200"/>
        <v>0</v>
      </c>
      <c r="S366" s="48">
        <f>SUM(S365)</f>
        <v>0</v>
      </c>
      <c r="T366" s="49">
        <f t="shared" si="201"/>
        <v>0</v>
      </c>
      <c r="U366" s="48">
        <f>SUM(U365)</f>
        <v>0</v>
      </c>
      <c r="V366" s="49">
        <f t="shared" si="202"/>
        <v>0</v>
      </c>
      <c r="W366" s="48">
        <f>SUM(W365)</f>
        <v>0</v>
      </c>
      <c r="X366" s="49">
        <f t="shared" si="203"/>
        <v>0</v>
      </c>
      <c r="Y366" s="48">
        <f>SUM(Y365)</f>
        <v>0</v>
      </c>
      <c r="Z366" s="48">
        <f>SUM(Z365)</f>
        <v>0</v>
      </c>
    </row>
    <row r="367" spans="1:26" ht="13.9" customHeight="1" x14ac:dyDescent="0.25">
      <c r="A367" s="15">
        <v>6</v>
      </c>
      <c r="B367" s="15">
        <v>1</v>
      </c>
      <c r="C367" s="15">
        <v>1</v>
      </c>
      <c r="D367" s="10" t="s">
        <v>215</v>
      </c>
      <c r="E367" s="24">
        <v>620</v>
      </c>
      <c r="F367" s="24" t="s">
        <v>128</v>
      </c>
      <c r="G367" s="25">
        <v>250.5</v>
      </c>
      <c r="H367" s="25">
        <v>723.21</v>
      </c>
      <c r="I367" s="25">
        <v>1651</v>
      </c>
      <c r="J367" s="25">
        <v>1537</v>
      </c>
      <c r="K367" s="25">
        <v>1651</v>
      </c>
      <c r="L367" s="25"/>
      <c r="M367" s="25"/>
      <c r="N367" s="25"/>
      <c r="O367" s="25"/>
      <c r="P367" s="25">
        <f>K367+SUM(L367:O367)</f>
        <v>1651</v>
      </c>
      <c r="Q367" s="25">
        <v>384.27</v>
      </c>
      <c r="R367" s="26">
        <f t="shared" si="200"/>
        <v>0.23274984857662023</v>
      </c>
      <c r="S367" s="25"/>
      <c r="T367" s="26">
        <f t="shared" si="201"/>
        <v>0</v>
      </c>
      <c r="U367" s="25"/>
      <c r="V367" s="26">
        <f t="shared" si="202"/>
        <v>0</v>
      </c>
      <c r="W367" s="25"/>
      <c r="X367" s="26">
        <f t="shared" si="203"/>
        <v>0</v>
      </c>
      <c r="Y367" s="25">
        <f>K367</f>
        <v>1651</v>
      </c>
      <c r="Z367" s="25">
        <f>Y367</f>
        <v>1651</v>
      </c>
    </row>
    <row r="368" spans="1:26" ht="13.9" customHeight="1" x14ac:dyDescent="0.25">
      <c r="A368" s="15">
        <v>6</v>
      </c>
      <c r="B368" s="15">
        <v>1</v>
      </c>
      <c r="C368" s="15">
        <v>1</v>
      </c>
      <c r="D368" s="10" t="s">
        <v>215</v>
      </c>
      <c r="E368" s="24">
        <v>630</v>
      </c>
      <c r="F368" s="24" t="s">
        <v>129</v>
      </c>
      <c r="G368" s="25">
        <v>9692.14</v>
      </c>
      <c r="H368" s="25">
        <v>10366.9</v>
      </c>
      <c r="I368" s="25">
        <v>10856</v>
      </c>
      <c r="J368" s="25">
        <v>7274</v>
      </c>
      <c r="K368" s="25">
        <v>8601</v>
      </c>
      <c r="L368" s="25"/>
      <c r="M368" s="25"/>
      <c r="N368" s="25"/>
      <c r="O368" s="25"/>
      <c r="P368" s="25">
        <f>K368+SUM(L368:O368)</f>
        <v>8601</v>
      </c>
      <c r="Q368" s="25">
        <v>2885.54</v>
      </c>
      <c r="R368" s="26">
        <f t="shared" si="200"/>
        <v>0.33548889663992559</v>
      </c>
      <c r="S368" s="25"/>
      <c r="T368" s="26">
        <f t="shared" si="201"/>
        <v>0</v>
      </c>
      <c r="U368" s="25"/>
      <c r="V368" s="26">
        <f t="shared" si="202"/>
        <v>0</v>
      </c>
      <c r="W368" s="25"/>
      <c r="X368" s="26">
        <f t="shared" si="203"/>
        <v>0</v>
      </c>
      <c r="Y368" s="25">
        <f>K368</f>
        <v>8601</v>
      </c>
      <c r="Z368" s="25">
        <f>Y368</f>
        <v>8601</v>
      </c>
    </row>
    <row r="369" spans="1:26" ht="13.9" customHeight="1" x14ac:dyDescent="0.25">
      <c r="A369" s="15">
        <v>6</v>
      </c>
      <c r="B369" s="15">
        <v>1</v>
      </c>
      <c r="C369" s="15">
        <v>1</v>
      </c>
      <c r="D369" s="10" t="s">
        <v>215</v>
      </c>
      <c r="E369" s="24">
        <v>640</v>
      </c>
      <c r="F369" s="24" t="s">
        <v>130</v>
      </c>
      <c r="G369" s="25">
        <v>6000</v>
      </c>
      <c r="H369" s="25">
        <v>6000</v>
      </c>
      <c r="I369" s="25">
        <v>6600</v>
      </c>
      <c r="J369" s="25">
        <v>6600</v>
      </c>
      <c r="K369" s="45">
        <v>6600</v>
      </c>
      <c r="L369" s="25"/>
      <c r="M369" s="25"/>
      <c r="N369" s="25"/>
      <c r="O369" s="25"/>
      <c r="P369" s="25">
        <f>K369+SUM(L369:O369)</f>
        <v>6600</v>
      </c>
      <c r="Q369" s="25">
        <v>6600</v>
      </c>
      <c r="R369" s="26">
        <f t="shared" si="200"/>
        <v>1</v>
      </c>
      <c r="S369" s="25"/>
      <c r="T369" s="26">
        <f t="shared" si="201"/>
        <v>0</v>
      </c>
      <c r="U369" s="25"/>
      <c r="V369" s="26">
        <f t="shared" si="202"/>
        <v>0</v>
      </c>
      <c r="W369" s="25"/>
      <c r="X369" s="26">
        <f t="shared" si="203"/>
        <v>0</v>
      </c>
      <c r="Y369" s="25">
        <f>K369</f>
        <v>6600</v>
      </c>
      <c r="Z369" s="25">
        <f>Y369</f>
        <v>6600</v>
      </c>
    </row>
    <row r="370" spans="1:26" ht="13.9" customHeight="1" x14ac:dyDescent="0.25">
      <c r="A370" s="15">
        <v>6</v>
      </c>
      <c r="B370" s="15">
        <v>1</v>
      </c>
      <c r="C370" s="15">
        <v>1</v>
      </c>
      <c r="D370" s="79" t="s">
        <v>21</v>
      </c>
      <c r="E370" s="47">
        <v>41</v>
      </c>
      <c r="F370" s="47" t="s">
        <v>23</v>
      </c>
      <c r="G370" s="48">
        <f t="shared" ref="G370:Q370" si="205">SUM(G367:G369)</f>
        <v>15942.64</v>
      </c>
      <c r="H370" s="48">
        <f t="shared" si="205"/>
        <v>17090.11</v>
      </c>
      <c r="I370" s="48">
        <f t="shared" si="205"/>
        <v>19107</v>
      </c>
      <c r="J370" s="48">
        <f t="shared" si="205"/>
        <v>15411</v>
      </c>
      <c r="K370" s="48">
        <f t="shared" si="205"/>
        <v>16852</v>
      </c>
      <c r="L370" s="48">
        <f t="shared" si="205"/>
        <v>0</v>
      </c>
      <c r="M370" s="48">
        <f t="shared" si="205"/>
        <v>0</v>
      </c>
      <c r="N370" s="48">
        <f t="shared" si="205"/>
        <v>0</v>
      </c>
      <c r="O370" s="48">
        <f t="shared" si="205"/>
        <v>0</v>
      </c>
      <c r="P370" s="48">
        <f t="shared" si="205"/>
        <v>16852</v>
      </c>
      <c r="Q370" s="48">
        <f t="shared" si="205"/>
        <v>9869.81</v>
      </c>
      <c r="R370" s="49">
        <f t="shared" si="200"/>
        <v>0.58567588416805128</v>
      </c>
      <c r="S370" s="48">
        <f>SUM(S367:S369)</f>
        <v>0</v>
      </c>
      <c r="T370" s="49">
        <f t="shared" si="201"/>
        <v>0</v>
      </c>
      <c r="U370" s="48">
        <f>SUM(U367:U369)</f>
        <v>0</v>
      </c>
      <c r="V370" s="49">
        <f t="shared" si="202"/>
        <v>0</v>
      </c>
      <c r="W370" s="48">
        <f>SUM(W367:W369)</f>
        <v>0</v>
      </c>
      <c r="X370" s="49">
        <f t="shared" si="203"/>
        <v>0</v>
      </c>
      <c r="Y370" s="48">
        <f>SUM(Y367:Y369)</f>
        <v>16852</v>
      </c>
      <c r="Z370" s="48">
        <f>SUM(Z367:Z369)</f>
        <v>16852</v>
      </c>
    </row>
    <row r="371" spans="1:26" ht="13.9" customHeight="1" x14ac:dyDescent="0.25">
      <c r="A371" s="15">
        <v>6</v>
      </c>
      <c r="B371" s="15">
        <v>1</v>
      </c>
      <c r="C371" s="15">
        <v>1</v>
      </c>
      <c r="D371" s="86"/>
      <c r="E371" s="87"/>
      <c r="F371" s="27" t="s">
        <v>122</v>
      </c>
      <c r="G371" s="28">
        <f t="shared" ref="G371:Q371" si="206">G366+G370</f>
        <v>16431.61</v>
      </c>
      <c r="H371" s="28">
        <f t="shared" si="206"/>
        <v>17090.11</v>
      </c>
      <c r="I371" s="28">
        <f t="shared" si="206"/>
        <v>19107</v>
      </c>
      <c r="J371" s="28">
        <f t="shared" si="206"/>
        <v>15411</v>
      </c>
      <c r="K371" s="28">
        <f t="shared" si="206"/>
        <v>16852</v>
      </c>
      <c r="L371" s="28">
        <f t="shared" si="206"/>
        <v>0</v>
      </c>
      <c r="M371" s="28">
        <f t="shared" si="206"/>
        <v>0</v>
      </c>
      <c r="N371" s="28">
        <f t="shared" si="206"/>
        <v>0</v>
      </c>
      <c r="O371" s="28">
        <f t="shared" si="206"/>
        <v>0</v>
      </c>
      <c r="P371" s="28">
        <f t="shared" si="206"/>
        <v>16852</v>
      </c>
      <c r="Q371" s="28">
        <f t="shared" si="206"/>
        <v>9869.81</v>
      </c>
      <c r="R371" s="29">
        <f t="shared" si="200"/>
        <v>0.58567588416805128</v>
      </c>
      <c r="S371" s="28">
        <f>S366+S370</f>
        <v>0</v>
      </c>
      <c r="T371" s="29">
        <f t="shared" si="201"/>
        <v>0</v>
      </c>
      <c r="U371" s="28">
        <f>U366+U370</f>
        <v>0</v>
      </c>
      <c r="V371" s="29">
        <f t="shared" si="202"/>
        <v>0</v>
      </c>
      <c r="W371" s="28">
        <f>W366+W370</f>
        <v>0</v>
      </c>
      <c r="X371" s="29">
        <f t="shared" si="203"/>
        <v>0</v>
      </c>
      <c r="Y371" s="28">
        <f>Y366+Y370</f>
        <v>16852</v>
      </c>
      <c r="Z371" s="28">
        <f>Z366+Z370</f>
        <v>16852</v>
      </c>
    </row>
    <row r="373" spans="1:26" ht="13.9" customHeight="1" x14ac:dyDescent="0.25">
      <c r="E373" s="51" t="s">
        <v>55</v>
      </c>
      <c r="F373" s="30" t="s">
        <v>143</v>
      </c>
      <c r="G373" s="102">
        <v>2401.6799999999998</v>
      </c>
      <c r="H373" s="102">
        <v>1092.45</v>
      </c>
      <c r="I373" s="102">
        <v>1080</v>
      </c>
      <c r="J373" s="102">
        <v>1121</v>
      </c>
      <c r="K373" s="102">
        <v>1120</v>
      </c>
      <c r="L373" s="102"/>
      <c r="M373" s="102"/>
      <c r="N373" s="102"/>
      <c r="O373" s="102"/>
      <c r="P373" s="102">
        <f>K373+SUM(L373:O373)</f>
        <v>1120</v>
      </c>
      <c r="Q373" s="102">
        <v>117.6</v>
      </c>
      <c r="R373" s="123">
        <f>IFERROR(Q373/$P373,0)</f>
        <v>0.105</v>
      </c>
      <c r="S373" s="102"/>
      <c r="T373" s="123">
        <f>IFERROR(S373/$P373,0)</f>
        <v>0</v>
      </c>
      <c r="U373" s="102"/>
      <c r="V373" s="123">
        <f>IFERROR(U373/$P373,0)</f>
        <v>0</v>
      </c>
      <c r="W373" s="102"/>
      <c r="X373" s="124">
        <f>IFERROR(W373/$P373,0)</f>
        <v>0</v>
      </c>
      <c r="Y373" s="52">
        <f>K373</f>
        <v>1120</v>
      </c>
      <c r="Z373" s="55">
        <f>Y373</f>
        <v>1120</v>
      </c>
    </row>
    <row r="374" spans="1:26" ht="13.9" customHeight="1" x14ac:dyDescent="0.25">
      <c r="E374" s="64"/>
      <c r="F374" s="97" t="s">
        <v>216</v>
      </c>
      <c r="G374" s="98">
        <v>2358</v>
      </c>
      <c r="H374" s="98">
        <v>4485.21</v>
      </c>
      <c r="I374" s="98">
        <v>5813</v>
      </c>
      <c r="J374" s="98">
        <v>5813</v>
      </c>
      <c r="K374" s="98">
        <v>5813</v>
      </c>
      <c r="L374" s="98"/>
      <c r="M374" s="98"/>
      <c r="N374" s="98"/>
      <c r="O374" s="98"/>
      <c r="P374" s="98">
        <f>K374+SUM(L374:O374)</f>
        <v>5813</v>
      </c>
      <c r="Q374" s="98">
        <v>1453.38</v>
      </c>
      <c r="R374" s="120">
        <f>IFERROR(Q374/$P374,0)</f>
        <v>0.25002236366764152</v>
      </c>
      <c r="S374" s="98"/>
      <c r="T374" s="120">
        <f>IFERROR(S374/$P374,0)</f>
        <v>0</v>
      </c>
      <c r="U374" s="98"/>
      <c r="V374" s="120">
        <f>IFERROR(U374/$P374,0)</f>
        <v>0</v>
      </c>
      <c r="W374" s="98"/>
      <c r="X374" s="121">
        <f>IFERROR(W374/$P374,0)</f>
        <v>0</v>
      </c>
      <c r="Y374" s="66">
        <f>K374</f>
        <v>5813</v>
      </c>
      <c r="Z374" s="69">
        <f>Y374</f>
        <v>5813</v>
      </c>
    </row>
    <row r="376" spans="1:26" ht="13.9" customHeight="1" x14ac:dyDescent="0.25">
      <c r="D376" s="72" t="s">
        <v>217</v>
      </c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3"/>
      <c r="S376" s="72"/>
      <c r="T376" s="73"/>
      <c r="U376" s="72"/>
      <c r="V376" s="73"/>
      <c r="W376" s="72"/>
      <c r="X376" s="73"/>
      <c r="Y376" s="72"/>
      <c r="Z376" s="72"/>
    </row>
    <row r="377" spans="1:26" ht="13.9" customHeight="1" x14ac:dyDescent="0.25">
      <c r="D377" s="21" t="s">
        <v>32</v>
      </c>
      <c r="E377" s="21" t="s">
        <v>33</v>
      </c>
      <c r="F377" s="21" t="s">
        <v>34</v>
      </c>
      <c r="G377" s="21" t="s">
        <v>1</v>
      </c>
      <c r="H377" s="21" t="s">
        <v>2</v>
      </c>
      <c r="I377" s="21" t="s">
        <v>3</v>
      </c>
      <c r="J377" s="21" t="s">
        <v>4</v>
      </c>
      <c r="K377" s="21" t="s">
        <v>5</v>
      </c>
      <c r="L377" s="21" t="s">
        <v>6</v>
      </c>
      <c r="M377" s="21" t="s">
        <v>7</v>
      </c>
      <c r="N377" s="21" t="s">
        <v>8</v>
      </c>
      <c r="O377" s="21" t="s">
        <v>9</v>
      </c>
      <c r="P377" s="21" t="s">
        <v>10</v>
      </c>
      <c r="Q377" s="21" t="s">
        <v>11</v>
      </c>
      <c r="R377" s="22" t="s">
        <v>12</v>
      </c>
      <c r="S377" s="21" t="s">
        <v>13</v>
      </c>
      <c r="T377" s="22" t="s">
        <v>14</v>
      </c>
      <c r="U377" s="21" t="s">
        <v>15</v>
      </c>
      <c r="V377" s="22" t="s">
        <v>16</v>
      </c>
      <c r="W377" s="21" t="s">
        <v>17</v>
      </c>
      <c r="X377" s="22" t="s">
        <v>18</v>
      </c>
      <c r="Y377" s="21" t="s">
        <v>19</v>
      </c>
      <c r="Z377" s="21" t="s">
        <v>20</v>
      </c>
    </row>
    <row r="378" spans="1:26" ht="13.9" customHeight="1" x14ac:dyDescent="0.25">
      <c r="A378" s="15">
        <v>6</v>
      </c>
      <c r="B378" s="15">
        <v>1</v>
      </c>
      <c r="C378" s="15">
        <v>2</v>
      </c>
      <c r="D378" s="84" t="s">
        <v>215</v>
      </c>
      <c r="E378" s="24">
        <v>640</v>
      </c>
      <c r="F378" s="24" t="s">
        <v>130</v>
      </c>
      <c r="G378" s="25">
        <v>6300</v>
      </c>
      <c r="H378" s="25">
        <v>6300</v>
      </c>
      <c r="I378" s="25">
        <f>SUM(I382:I385)</f>
        <v>5900</v>
      </c>
      <c r="J378" s="25">
        <f>SUM(J382:J385)</f>
        <v>6100</v>
      </c>
      <c r="K378" s="25">
        <f>SUM(K382:K385)</f>
        <v>7750</v>
      </c>
      <c r="L378" s="25"/>
      <c r="M378" s="25"/>
      <c r="N378" s="25"/>
      <c r="O378" s="25"/>
      <c r="P378" s="25">
        <f>K378+SUM(L378:O378)</f>
        <v>7750</v>
      </c>
      <c r="Q378" s="25">
        <v>300</v>
      </c>
      <c r="R378" s="26">
        <f>IFERROR(Q378/$P378,0)</f>
        <v>3.870967741935484E-2</v>
      </c>
      <c r="S378" s="25"/>
      <c r="T378" s="26">
        <f>IFERROR(S378/$P378,0)</f>
        <v>0</v>
      </c>
      <c r="U378" s="25"/>
      <c r="V378" s="26">
        <f>IFERROR(U378/$P378,0)</f>
        <v>0</v>
      </c>
      <c r="W378" s="25"/>
      <c r="X378" s="26">
        <f>IFERROR(W378/$P378,0)</f>
        <v>0</v>
      </c>
      <c r="Y378" s="25">
        <f>SUM(Y382:Y385)</f>
        <v>7750</v>
      </c>
      <c r="Z378" s="25">
        <f>SUM(Z382:Z385)</f>
        <v>7750</v>
      </c>
    </row>
    <row r="379" spans="1:26" ht="13.9" customHeight="1" x14ac:dyDescent="0.25">
      <c r="A379" s="15">
        <v>6</v>
      </c>
      <c r="B379" s="15">
        <v>1</v>
      </c>
      <c r="C379" s="15">
        <v>2</v>
      </c>
      <c r="D379" s="79" t="s">
        <v>21</v>
      </c>
      <c r="E379" s="47">
        <v>41</v>
      </c>
      <c r="F379" s="47" t="s">
        <v>23</v>
      </c>
      <c r="G379" s="48">
        <f t="shared" ref="G379:Q379" si="207">SUM(G378)</f>
        <v>6300</v>
      </c>
      <c r="H379" s="48">
        <f t="shared" si="207"/>
        <v>6300</v>
      </c>
      <c r="I379" s="48">
        <f t="shared" si="207"/>
        <v>5900</v>
      </c>
      <c r="J379" s="48">
        <f t="shared" si="207"/>
        <v>6100</v>
      </c>
      <c r="K379" s="48">
        <f t="shared" si="207"/>
        <v>7750</v>
      </c>
      <c r="L379" s="48">
        <f t="shared" si="207"/>
        <v>0</v>
      </c>
      <c r="M379" s="48">
        <f t="shared" si="207"/>
        <v>0</v>
      </c>
      <c r="N379" s="48">
        <f t="shared" si="207"/>
        <v>0</v>
      </c>
      <c r="O379" s="48">
        <f t="shared" si="207"/>
        <v>0</v>
      </c>
      <c r="P379" s="48">
        <f t="shared" si="207"/>
        <v>7750</v>
      </c>
      <c r="Q379" s="48">
        <f t="shared" si="207"/>
        <v>300</v>
      </c>
      <c r="R379" s="49">
        <f>IFERROR(Q379/$P379,0)</f>
        <v>3.870967741935484E-2</v>
      </c>
      <c r="S379" s="48">
        <f>SUM(S378)</f>
        <v>0</v>
      </c>
      <c r="T379" s="49">
        <f>IFERROR(S379/$P379,0)</f>
        <v>0</v>
      </c>
      <c r="U379" s="48">
        <f>SUM(U378)</f>
        <v>0</v>
      </c>
      <c r="V379" s="49">
        <f>IFERROR(U379/$P379,0)</f>
        <v>0</v>
      </c>
      <c r="W379" s="48">
        <f>SUM(W378)</f>
        <v>0</v>
      </c>
      <c r="X379" s="49">
        <f>IFERROR(W379/$P379,0)</f>
        <v>0</v>
      </c>
      <c r="Y379" s="48">
        <f>SUM(Y378)</f>
        <v>7750</v>
      </c>
      <c r="Z379" s="48">
        <f>SUM(Z378)</f>
        <v>7750</v>
      </c>
    </row>
    <row r="380" spans="1:26" ht="13.9" customHeight="1" x14ac:dyDescent="0.25">
      <c r="A380" s="15">
        <v>6</v>
      </c>
      <c r="B380" s="15">
        <v>1</v>
      </c>
      <c r="C380" s="15">
        <v>2</v>
      </c>
      <c r="D380" s="86"/>
      <c r="E380" s="87"/>
      <c r="F380" s="27" t="s">
        <v>122</v>
      </c>
      <c r="G380" s="28">
        <f t="shared" ref="G380:Q380" si="208">G379</f>
        <v>6300</v>
      </c>
      <c r="H380" s="28">
        <f t="shared" si="208"/>
        <v>6300</v>
      </c>
      <c r="I380" s="28">
        <f t="shared" si="208"/>
        <v>5900</v>
      </c>
      <c r="J380" s="28">
        <f t="shared" si="208"/>
        <v>6100</v>
      </c>
      <c r="K380" s="28">
        <f t="shared" si="208"/>
        <v>7750</v>
      </c>
      <c r="L380" s="28">
        <f t="shared" si="208"/>
        <v>0</v>
      </c>
      <c r="M380" s="28">
        <f t="shared" si="208"/>
        <v>0</v>
      </c>
      <c r="N380" s="28">
        <f t="shared" si="208"/>
        <v>0</v>
      </c>
      <c r="O380" s="28">
        <f t="shared" si="208"/>
        <v>0</v>
      </c>
      <c r="P380" s="28">
        <f t="shared" si="208"/>
        <v>7750</v>
      </c>
      <c r="Q380" s="28">
        <f t="shared" si="208"/>
        <v>300</v>
      </c>
      <c r="R380" s="29">
        <f>IFERROR(Q380/$P380,0)</f>
        <v>3.870967741935484E-2</v>
      </c>
      <c r="S380" s="28">
        <f>S379</f>
        <v>0</v>
      </c>
      <c r="T380" s="29">
        <f>IFERROR(S380/$P380,0)</f>
        <v>0</v>
      </c>
      <c r="U380" s="28">
        <f>U379</f>
        <v>0</v>
      </c>
      <c r="V380" s="29">
        <f>IFERROR(U380/$P380,0)</f>
        <v>0</v>
      </c>
      <c r="W380" s="28">
        <f>W379</f>
        <v>0</v>
      </c>
      <c r="X380" s="29">
        <f>IFERROR(W380/$P380,0)</f>
        <v>0</v>
      </c>
      <c r="Y380" s="28">
        <f>Y379</f>
        <v>7750</v>
      </c>
      <c r="Z380" s="28">
        <f>Z379</f>
        <v>7750</v>
      </c>
    </row>
    <row r="382" spans="1:26" ht="13.9" customHeight="1" x14ac:dyDescent="0.25">
      <c r="E382" s="51" t="s">
        <v>55</v>
      </c>
      <c r="F382" s="30" t="s">
        <v>218</v>
      </c>
      <c r="G382" s="52">
        <v>300</v>
      </c>
      <c r="H382" s="52">
        <v>300</v>
      </c>
      <c r="I382" s="52">
        <v>400</v>
      </c>
      <c r="J382" s="52">
        <v>300</v>
      </c>
      <c r="K382" s="102">
        <v>450</v>
      </c>
      <c r="L382" s="52"/>
      <c r="M382" s="52"/>
      <c r="N382" s="52"/>
      <c r="O382" s="52"/>
      <c r="P382" s="52">
        <f>K382+SUM(L382:O382)</f>
        <v>450</v>
      </c>
      <c r="Q382" s="52">
        <v>300</v>
      </c>
      <c r="R382" s="53">
        <f>IFERROR(Q382/$P382,0)</f>
        <v>0.66666666666666663</v>
      </c>
      <c r="S382" s="52"/>
      <c r="T382" s="53">
        <f>IFERROR(S382/$P382,0)</f>
        <v>0</v>
      </c>
      <c r="U382" s="52"/>
      <c r="V382" s="53">
        <f>IFERROR(U382/$P382,0)</f>
        <v>0</v>
      </c>
      <c r="W382" s="52"/>
      <c r="X382" s="54">
        <f>IFERROR(W382/$P382,0)</f>
        <v>0</v>
      </c>
      <c r="Y382" s="52">
        <f>K382</f>
        <v>450</v>
      </c>
      <c r="Z382" s="55">
        <f>Y382</f>
        <v>450</v>
      </c>
    </row>
    <row r="383" spans="1:26" ht="13.9" hidden="1" customHeight="1" x14ac:dyDescent="0.25">
      <c r="E383" s="56"/>
      <c r="F383" s="92" t="s">
        <v>219</v>
      </c>
      <c r="G383" s="95"/>
      <c r="H383" s="95"/>
      <c r="I383" s="95"/>
      <c r="J383" s="95">
        <v>300</v>
      </c>
      <c r="K383" s="93">
        <v>0</v>
      </c>
      <c r="L383" s="95"/>
      <c r="M383" s="95"/>
      <c r="N383" s="95"/>
      <c r="O383" s="95"/>
      <c r="P383" s="95">
        <f>K383+SUM(L383:O383)</f>
        <v>0</v>
      </c>
      <c r="Q383" s="95">
        <v>0</v>
      </c>
      <c r="R383" s="96">
        <f>IFERROR(Q383/$P383,0)</f>
        <v>0</v>
      </c>
      <c r="S383" s="95"/>
      <c r="T383" s="96">
        <f>IFERROR(S383/$P383,0)</f>
        <v>0</v>
      </c>
      <c r="U383" s="95"/>
      <c r="V383" s="96">
        <f>IFERROR(U383/$P383,0)</f>
        <v>0</v>
      </c>
      <c r="W383" s="95"/>
      <c r="X383" s="59">
        <f>IFERROR(W383/$P383,0)</f>
        <v>0</v>
      </c>
      <c r="Y383" s="95">
        <f>K383</f>
        <v>0</v>
      </c>
      <c r="Z383" s="60">
        <f>Y383</f>
        <v>0</v>
      </c>
    </row>
    <row r="384" spans="1:26" ht="13.9" customHeight="1" x14ac:dyDescent="0.25">
      <c r="E384" s="56"/>
      <c r="F384" s="57" t="s">
        <v>220</v>
      </c>
      <c r="G384" s="58"/>
      <c r="H384" s="58"/>
      <c r="I384" s="58"/>
      <c r="J384" s="58"/>
      <c r="K384" s="61">
        <v>2000</v>
      </c>
      <c r="L384" s="58"/>
      <c r="M384" s="58"/>
      <c r="N384" s="58"/>
      <c r="O384" s="58"/>
      <c r="P384" s="58">
        <f>K384+SUM(L384:O384)</f>
        <v>2000</v>
      </c>
      <c r="Q384" s="58">
        <v>0</v>
      </c>
      <c r="R384" s="16">
        <f>IFERROR(Q384/$P384,0)</f>
        <v>0</v>
      </c>
      <c r="S384" s="58"/>
      <c r="T384" s="16">
        <f>IFERROR(S384/$P384,0)</f>
        <v>0</v>
      </c>
      <c r="U384" s="58"/>
      <c r="V384" s="16">
        <f>IFERROR(U384/$P384,0)</f>
        <v>0</v>
      </c>
      <c r="W384" s="58"/>
      <c r="X384" s="59">
        <f>IFERROR(W384/$P384,0)</f>
        <v>0</v>
      </c>
      <c r="Y384" s="58">
        <f>K384</f>
        <v>2000</v>
      </c>
      <c r="Z384" s="60">
        <f>Y384</f>
        <v>2000</v>
      </c>
    </row>
    <row r="385" spans="1:26" ht="13.9" customHeight="1" x14ac:dyDescent="0.25">
      <c r="E385" s="103"/>
      <c r="F385" s="104" t="s">
        <v>221</v>
      </c>
      <c r="G385" s="108">
        <v>6000</v>
      </c>
      <c r="H385" s="108">
        <v>6000</v>
      </c>
      <c r="I385" s="108">
        <v>5500</v>
      </c>
      <c r="J385" s="108">
        <v>5500</v>
      </c>
      <c r="K385" s="105">
        <v>5300</v>
      </c>
      <c r="L385" s="108"/>
      <c r="M385" s="108"/>
      <c r="N385" s="108"/>
      <c r="O385" s="108"/>
      <c r="P385" s="108">
        <f>K385+SUM(L385:O385)</f>
        <v>5300</v>
      </c>
      <c r="Q385" s="108">
        <v>0</v>
      </c>
      <c r="R385" s="125">
        <f>IFERROR(Q385/$P385,0)</f>
        <v>0</v>
      </c>
      <c r="S385" s="108"/>
      <c r="T385" s="125">
        <f>IFERROR(S385/$P385,0)</f>
        <v>0</v>
      </c>
      <c r="U385" s="108"/>
      <c r="V385" s="125">
        <f>IFERROR(U385/$P385,0)</f>
        <v>0</v>
      </c>
      <c r="W385" s="108"/>
      <c r="X385" s="126">
        <f>IFERROR(W385/$P385,0)</f>
        <v>0</v>
      </c>
      <c r="Y385" s="108">
        <f>K385</f>
        <v>5300</v>
      </c>
      <c r="Z385" s="109">
        <f>Y385</f>
        <v>5300</v>
      </c>
    </row>
    <row r="387" spans="1:26" ht="13.9" customHeight="1" x14ac:dyDescent="0.25">
      <c r="D387" s="41" t="s">
        <v>222</v>
      </c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2"/>
      <c r="S387" s="41"/>
      <c r="T387" s="42"/>
      <c r="U387" s="41"/>
      <c r="V387" s="42"/>
      <c r="W387" s="41"/>
      <c r="X387" s="42"/>
      <c r="Y387" s="41"/>
      <c r="Z387" s="41"/>
    </row>
    <row r="388" spans="1:26" ht="13.9" customHeight="1" x14ac:dyDescent="0.25">
      <c r="D388" s="127"/>
      <c r="E388" s="127"/>
      <c r="F388" s="127"/>
      <c r="G388" s="21" t="s">
        <v>1</v>
      </c>
      <c r="H388" s="21" t="s">
        <v>2</v>
      </c>
      <c r="I388" s="21" t="s">
        <v>3</v>
      </c>
      <c r="J388" s="21" t="s">
        <v>4</v>
      </c>
      <c r="K388" s="21" t="s">
        <v>5</v>
      </c>
      <c r="L388" s="21" t="s">
        <v>6</v>
      </c>
      <c r="M388" s="21" t="s">
        <v>7</v>
      </c>
      <c r="N388" s="21" t="s">
        <v>8</v>
      </c>
      <c r="O388" s="21" t="s">
        <v>9</v>
      </c>
      <c r="P388" s="21" t="s">
        <v>10</v>
      </c>
      <c r="Q388" s="21" t="s">
        <v>11</v>
      </c>
      <c r="R388" s="22" t="s">
        <v>12</v>
      </c>
      <c r="S388" s="21" t="s">
        <v>13</v>
      </c>
      <c r="T388" s="22" t="s">
        <v>14</v>
      </c>
      <c r="U388" s="21" t="s">
        <v>15</v>
      </c>
      <c r="V388" s="22" t="s">
        <v>16</v>
      </c>
      <c r="W388" s="21" t="s">
        <v>17</v>
      </c>
      <c r="X388" s="22" t="s">
        <v>18</v>
      </c>
      <c r="Y388" s="21" t="s">
        <v>19</v>
      </c>
      <c r="Z388" s="21" t="s">
        <v>20</v>
      </c>
    </row>
    <row r="389" spans="1:26" ht="13.9" customHeight="1" x14ac:dyDescent="0.25">
      <c r="A389" s="15">
        <v>6</v>
      </c>
      <c r="B389" s="15">
        <v>2</v>
      </c>
      <c r="D389" s="1" t="s">
        <v>21</v>
      </c>
      <c r="E389" s="24">
        <v>111</v>
      </c>
      <c r="F389" s="24" t="s">
        <v>132</v>
      </c>
      <c r="G389" s="25">
        <f t="shared" ref="G389:Q389" si="209">G396</f>
        <v>71.28</v>
      </c>
      <c r="H389" s="25">
        <f t="shared" si="209"/>
        <v>0</v>
      </c>
      <c r="I389" s="25">
        <f t="shared" si="209"/>
        <v>0</v>
      </c>
      <c r="J389" s="25">
        <f t="shared" si="209"/>
        <v>0</v>
      </c>
      <c r="K389" s="25">
        <f t="shared" si="209"/>
        <v>0</v>
      </c>
      <c r="L389" s="25">
        <f t="shared" si="209"/>
        <v>0</v>
      </c>
      <c r="M389" s="25">
        <f t="shared" si="209"/>
        <v>0</v>
      </c>
      <c r="N389" s="25">
        <f t="shared" si="209"/>
        <v>0</v>
      </c>
      <c r="O389" s="25">
        <f t="shared" si="209"/>
        <v>0</v>
      </c>
      <c r="P389" s="25">
        <f t="shared" si="209"/>
        <v>0</v>
      </c>
      <c r="Q389" s="25">
        <f t="shared" si="209"/>
        <v>0</v>
      </c>
      <c r="R389" s="26">
        <f>IFERROR(Q389/$P389,0)</f>
        <v>0</v>
      </c>
      <c r="S389" s="25">
        <f>S396</f>
        <v>0</v>
      </c>
      <c r="T389" s="26">
        <f>IFERROR(S389/$P389,0)</f>
        <v>0</v>
      </c>
      <c r="U389" s="25">
        <f>U396</f>
        <v>0</v>
      </c>
      <c r="V389" s="26">
        <f>IFERROR(U389/$P389,0)</f>
        <v>0</v>
      </c>
      <c r="W389" s="25">
        <f>W396</f>
        <v>0</v>
      </c>
      <c r="X389" s="26">
        <f>IFERROR(W389/$P389,0)</f>
        <v>0</v>
      </c>
      <c r="Y389" s="25">
        <f>Y396</f>
        <v>0</v>
      </c>
      <c r="Z389" s="25">
        <f>Z396</f>
        <v>0</v>
      </c>
    </row>
    <row r="390" spans="1:26" ht="13.9" customHeight="1" x14ac:dyDescent="0.25">
      <c r="A390" s="15">
        <v>6</v>
      </c>
      <c r="B390" s="15">
        <v>2</v>
      </c>
      <c r="D390" s="1" t="s">
        <v>21</v>
      </c>
      <c r="E390" s="136">
        <v>41</v>
      </c>
      <c r="F390" s="136" t="s">
        <v>23</v>
      </c>
      <c r="G390" s="25">
        <f t="shared" ref="G390:O390" si="210">G398+G409+G421</f>
        <v>15022.25</v>
      </c>
      <c r="H390" s="25">
        <f t="shared" si="210"/>
        <v>16450.02</v>
      </c>
      <c r="I390" s="25">
        <f t="shared" si="210"/>
        <v>13800</v>
      </c>
      <c r="J390" s="25">
        <f t="shared" si="210"/>
        <v>9745</v>
      </c>
      <c r="K390" s="25">
        <f t="shared" si="210"/>
        <v>9355</v>
      </c>
      <c r="L390" s="25">
        <f t="shared" si="210"/>
        <v>0</v>
      </c>
      <c r="M390" s="25">
        <f t="shared" si="210"/>
        <v>0</v>
      </c>
      <c r="N390" s="25">
        <f t="shared" si="210"/>
        <v>0</v>
      </c>
      <c r="O390" s="25">
        <f t="shared" si="210"/>
        <v>0</v>
      </c>
      <c r="P390" s="25">
        <f>K390+SUM(L390:O390)</f>
        <v>9355</v>
      </c>
      <c r="Q390" s="25">
        <f>Q398+Q409+Q421</f>
        <v>638.23</v>
      </c>
      <c r="R390" s="26">
        <f>IFERROR(Q390/$P390,0)</f>
        <v>6.8223409941207916E-2</v>
      </c>
      <c r="S390" s="25">
        <f>S398+S409+S421</f>
        <v>0</v>
      </c>
      <c r="T390" s="26">
        <f>IFERROR(S390/$P390,0)</f>
        <v>0</v>
      </c>
      <c r="U390" s="25">
        <f>U398+U409+U421</f>
        <v>0</v>
      </c>
      <c r="V390" s="26">
        <f>IFERROR(U390/$P390,0)</f>
        <v>0</v>
      </c>
      <c r="W390" s="25">
        <f>W398+W409+W421</f>
        <v>0</v>
      </c>
      <c r="X390" s="26">
        <f>IFERROR(W390/$P390,0)</f>
        <v>0</v>
      </c>
      <c r="Y390" s="25">
        <f>Y398+Y409+Y421</f>
        <v>9355</v>
      </c>
      <c r="Z390" s="25">
        <f>Z398+Z409+Z421</f>
        <v>9355</v>
      </c>
    </row>
    <row r="391" spans="1:26" ht="13.9" customHeight="1" x14ac:dyDescent="0.25">
      <c r="A391" s="15">
        <v>6</v>
      </c>
      <c r="B391" s="15">
        <v>2</v>
      </c>
      <c r="D391" s="30"/>
      <c r="E391" s="31"/>
      <c r="F391" s="27" t="s">
        <v>122</v>
      </c>
      <c r="G391" s="28">
        <f t="shared" ref="G391:Q391" si="211">SUM(G389:G390)</f>
        <v>15093.53</v>
      </c>
      <c r="H391" s="28">
        <f t="shared" si="211"/>
        <v>16450.02</v>
      </c>
      <c r="I391" s="28">
        <f t="shared" si="211"/>
        <v>13800</v>
      </c>
      <c r="J391" s="28">
        <f t="shared" si="211"/>
        <v>9745</v>
      </c>
      <c r="K391" s="28">
        <f t="shared" si="211"/>
        <v>9355</v>
      </c>
      <c r="L391" s="28">
        <f t="shared" si="211"/>
        <v>0</v>
      </c>
      <c r="M391" s="28">
        <f t="shared" si="211"/>
        <v>0</v>
      </c>
      <c r="N391" s="28">
        <f t="shared" si="211"/>
        <v>0</v>
      </c>
      <c r="O391" s="28">
        <f t="shared" si="211"/>
        <v>0</v>
      </c>
      <c r="P391" s="28">
        <f t="shared" si="211"/>
        <v>9355</v>
      </c>
      <c r="Q391" s="28">
        <f t="shared" si="211"/>
        <v>638.23</v>
      </c>
      <c r="R391" s="29">
        <f>IFERROR(Q391/$P391,0)</f>
        <v>6.8223409941207916E-2</v>
      </c>
      <c r="S391" s="28">
        <f>SUM(S389:S390)</f>
        <v>0</v>
      </c>
      <c r="T391" s="29">
        <f>IFERROR(S391/$P391,0)</f>
        <v>0</v>
      </c>
      <c r="U391" s="28">
        <f>SUM(U389:U390)</f>
        <v>0</v>
      </c>
      <c r="V391" s="29">
        <f>IFERROR(U391/$P391,0)</f>
        <v>0</v>
      </c>
      <c r="W391" s="28">
        <f>SUM(W389:W390)</f>
        <v>0</v>
      </c>
      <c r="X391" s="29">
        <f>IFERROR(W391/$P391,0)</f>
        <v>0</v>
      </c>
      <c r="Y391" s="28">
        <f>SUM(Y389:Y390)</f>
        <v>9355</v>
      </c>
      <c r="Z391" s="28">
        <f>SUM(Z389:Z390)</f>
        <v>9355</v>
      </c>
    </row>
    <row r="393" spans="1:26" ht="13.9" customHeight="1" x14ac:dyDescent="0.25">
      <c r="D393" s="72" t="s">
        <v>223</v>
      </c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3"/>
      <c r="S393" s="72"/>
      <c r="T393" s="73"/>
      <c r="U393" s="72"/>
      <c r="V393" s="73"/>
      <c r="W393" s="72"/>
      <c r="X393" s="73"/>
      <c r="Y393" s="72"/>
      <c r="Z393" s="72"/>
    </row>
    <row r="394" spans="1:26" ht="13.9" customHeight="1" x14ac:dyDescent="0.25">
      <c r="D394" s="21" t="s">
        <v>32</v>
      </c>
      <c r="E394" s="21" t="s">
        <v>33</v>
      </c>
      <c r="F394" s="21" t="s">
        <v>34</v>
      </c>
      <c r="G394" s="21" t="s">
        <v>1</v>
      </c>
      <c r="H394" s="21" t="s">
        <v>2</v>
      </c>
      <c r="I394" s="21" t="s">
        <v>3</v>
      </c>
      <c r="J394" s="21" t="s">
        <v>4</v>
      </c>
      <c r="K394" s="21" t="s">
        <v>5</v>
      </c>
      <c r="L394" s="21" t="s">
        <v>6</v>
      </c>
      <c r="M394" s="21" t="s">
        <v>7</v>
      </c>
      <c r="N394" s="21" t="s">
        <v>8</v>
      </c>
      <c r="O394" s="21" t="s">
        <v>9</v>
      </c>
      <c r="P394" s="21" t="s">
        <v>10</v>
      </c>
      <c r="Q394" s="21" t="s">
        <v>11</v>
      </c>
      <c r="R394" s="22" t="s">
        <v>12</v>
      </c>
      <c r="S394" s="21" t="s">
        <v>13</v>
      </c>
      <c r="T394" s="22" t="s">
        <v>14</v>
      </c>
      <c r="U394" s="21" t="s">
        <v>15</v>
      </c>
      <c r="V394" s="22" t="s">
        <v>16</v>
      </c>
      <c r="W394" s="21" t="s">
        <v>17</v>
      </c>
      <c r="X394" s="22" t="s">
        <v>18</v>
      </c>
      <c r="Y394" s="21" t="s">
        <v>19</v>
      </c>
      <c r="Z394" s="21" t="s">
        <v>20</v>
      </c>
    </row>
    <row r="395" spans="1:26" ht="13.9" hidden="1" customHeight="1" x14ac:dyDescent="0.25">
      <c r="A395" s="15">
        <v>6</v>
      </c>
      <c r="B395" s="15">
        <v>2</v>
      </c>
      <c r="C395" s="15">
        <v>1</v>
      </c>
      <c r="D395" s="84" t="s">
        <v>224</v>
      </c>
      <c r="E395" s="24">
        <v>630</v>
      </c>
      <c r="F395" s="24" t="s">
        <v>129</v>
      </c>
      <c r="G395" s="25">
        <v>71.28</v>
      </c>
      <c r="H395" s="25">
        <v>0</v>
      </c>
      <c r="I395" s="25">
        <v>0</v>
      </c>
      <c r="J395" s="25">
        <v>0</v>
      </c>
      <c r="K395" s="25">
        <v>0</v>
      </c>
      <c r="L395" s="25"/>
      <c r="M395" s="25"/>
      <c r="N395" s="25"/>
      <c r="O395" s="25"/>
      <c r="P395" s="25">
        <f>K395+SUM(L395:O395)</f>
        <v>0</v>
      </c>
      <c r="Q395" s="25"/>
      <c r="R395" s="26">
        <f>IFERROR(Q395/$P395,0)</f>
        <v>0</v>
      </c>
      <c r="S395" s="25"/>
      <c r="T395" s="26">
        <f>IFERROR(S395/$P395,0)</f>
        <v>0</v>
      </c>
      <c r="U395" s="25"/>
      <c r="V395" s="26">
        <f>IFERROR(U395/$P395,0)</f>
        <v>0</v>
      </c>
      <c r="W395" s="25"/>
      <c r="X395" s="26">
        <f>IFERROR(W395/$P395,0)</f>
        <v>0</v>
      </c>
      <c r="Y395" s="25">
        <v>0</v>
      </c>
      <c r="Z395" s="25">
        <f>Y395</f>
        <v>0</v>
      </c>
    </row>
    <row r="396" spans="1:26" ht="13.9" hidden="1" customHeight="1" x14ac:dyDescent="0.25">
      <c r="A396" s="15">
        <v>6</v>
      </c>
      <c r="B396" s="15">
        <v>2</v>
      </c>
      <c r="C396" s="15">
        <v>1</v>
      </c>
      <c r="D396" s="79" t="s">
        <v>21</v>
      </c>
      <c r="E396" s="85">
        <v>111</v>
      </c>
      <c r="F396" s="47" t="s">
        <v>132</v>
      </c>
      <c r="G396" s="48">
        <f t="shared" ref="G396:Q396" si="212">SUM(G395)</f>
        <v>71.28</v>
      </c>
      <c r="H396" s="48">
        <f t="shared" si="212"/>
        <v>0</v>
      </c>
      <c r="I396" s="48">
        <f t="shared" si="212"/>
        <v>0</v>
      </c>
      <c r="J396" s="48">
        <f t="shared" si="212"/>
        <v>0</v>
      </c>
      <c r="K396" s="48">
        <f t="shared" si="212"/>
        <v>0</v>
      </c>
      <c r="L396" s="48">
        <f t="shared" si="212"/>
        <v>0</v>
      </c>
      <c r="M396" s="48">
        <f t="shared" si="212"/>
        <v>0</v>
      </c>
      <c r="N396" s="48">
        <f t="shared" si="212"/>
        <v>0</v>
      </c>
      <c r="O396" s="48">
        <f t="shared" si="212"/>
        <v>0</v>
      </c>
      <c r="P396" s="48">
        <f t="shared" si="212"/>
        <v>0</v>
      </c>
      <c r="Q396" s="48">
        <f t="shared" si="212"/>
        <v>0</v>
      </c>
      <c r="R396" s="49">
        <f>IFERROR(Q396/$P396,0)</f>
        <v>0</v>
      </c>
      <c r="S396" s="48">
        <f>SUM(S395)</f>
        <v>0</v>
      </c>
      <c r="T396" s="49">
        <f>IFERROR(S396/$P396,0)</f>
        <v>0</v>
      </c>
      <c r="U396" s="48">
        <f>SUM(U395)</f>
        <v>0</v>
      </c>
      <c r="V396" s="49">
        <f>IFERROR(U396/$P396,0)</f>
        <v>0</v>
      </c>
      <c r="W396" s="48">
        <f>SUM(W395)</f>
        <v>0</v>
      </c>
      <c r="X396" s="49">
        <f>IFERROR(W396/$P396,0)</f>
        <v>0</v>
      </c>
      <c r="Y396" s="48">
        <f>SUM(Y395)</f>
        <v>0</v>
      </c>
      <c r="Z396" s="48">
        <f>SUM(Z395)</f>
        <v>0</v>
      </c>
    </row>
    <row r="397" spans="1:26" ht="13.9" customHeight="1" x14ac:dyDescent="0.25">
      <c r="A397" s="15">
        <v>6</v>
      </c>
      <c r="B397" s="15">
        <v>2</v>
      </c>
      <c r="C397" s="15">
        <v>1</v>
      </c>
      <c r="D397" s="84" t="s">
        <v>224</v>
      </c>
      <c r="E397" s="24">
        <v>630</v>
      </c>
      <c r="F397" s="24" t="s">
        <v>129</v>
      </c>
      <c r="G397" s="45">
        <v>603.65</v>
      </c>
      <c r="H397" s="45">
        <v>498.88</v>
      </c>
      <c r="I397" s="45">
        <v>467</v>
      </c>
      <c r="J397" s="45">
        <v>585</v>
      </c>
      <c r="K397" s="45">
        <v>585</v>
      </c>
      <c r="L397" s="45"/>
      <c r="M397" s="45"/>
      <c r="N397" s="45"/>
      <c r="O397" s="45"/>
      <c r="P397" s="45">
        <f>K397+SUM(L397:O397)</f>
        <v>585</v>
      </c>
      <c r="Q397" s="45">
        <v>78.25</v>
      </c>
      <c r="R397" s="46">
        <f>IFERROR(Q397/$P397,0)</f>
        <v>0.13376068376068376</v>
      </c>
      <c r="S397" s="45"/>
      <c r="T397" s="46">
        <f>IFERROR(S397/$P397,0)</f>
        <v>0</v>
      </c>
      <c r="U397" s="45"/>
      <c r="V397" s="46">
        <f>IFERROR(U397/$P397,0)</f>
        <v>0</v>
      </c>
      <c r="W397" s="45"/>
      <c r="X397" s="46">
        <f>IFERROR(W397/$P397,0)</f>
        <v>0</v>
      </c>
      <c r="Y397" s="45">
        <f>K397</f>
        <v>585</v>
      </c>
      <c r="Z397" s="45">
        <f>Y397</f>
        <v>585</v>
      </c>
    </row>
    <row r="398" spans="1:26" ht="13.9" customHeight="1" x14ac:dyDescent="0.25">
      <c r="A398" s="15">
        <v>6</v>
      </c>
      <c r="B398" s="15">
        <v>2</v>
      </c>
      <c r="C398" s="15">
        <v>1</v>
      </c>
      <c r="D398" s="79" t="s">
        <v>21</v>
      </c>
      <c r="E398" s="47">
        <v>41</v>
      </c>
      <c r="F398" s="47" t="s">
        <v>23</v>
      </c>
      <c r="G398" s="48">
        <f t="shared" ref="G398:Q398" si="213">SUM(G397)</f>
        <v>603.65</v>
      </c>
      <c r="H398" s="48">
        <f t="shared" si="213"/>
        <v>498.88</v>
      </c>
      <c r="I398" s="48">
        <f t="shared" si="213"/>
        <v>467</v>
      </c>
      <c r="J398" s="48">
        <f t="shared" si="213"/>
        <v>585</v>
      </c>
      <c r="K398" s="48">
        <f t="shared" si="213"/>
        <v>585</v>
      </c>
      <c r="L398" s="48">
        <f t="shared" si="213"/>
        <v>0</v>
      </c>
      <c r="M398" s="48">
        <f t="shared" si="213"/>
        <v>0</v>
      </c>
      <c r="N398" s="48">
        <f t="shared" si="213"/>
        <v>0</v>
      </c>
      <c r="O398" s="48">
        <f t="shared" si="213"/>
        <v>0</v>
      </c>
      <c r="P398" s="48">
        <f t="shared" si="213"/>
        <v>585</v>
      </c>
      <c r="Q398" s="48">
        <f t="shared" si="213"/>
        <v>78.25</v>
      </c>
      <c r="R398" s="49">
        <f>IFERROR(Q398/$P398,0)</f>
        <v>0.13376068376068376</v>
      </c>
      <c r="S398" s="48">
        <f>SUM(S397)</f>
        <v>0</v>
      </c>
      <c r="T398" s="49">
        <f>IFERROR(S398/$P398,0)</f>
        <v>0</v>
      </c>
      <c r="U398" s="48">
        <f>SUM(U397)</f>
        <v>0</v>
      </c>
      <c r="V398" s="49">
        <f>IFERROR(U398/$P398,0)</f>
        <v>0</v>
      </c>
      <c r="W398" s="48">
        <f>SUM(W397)</f>
        <v>0</v>
      </c>
      <c r="X398" s="49">
        <f>IFERROR(W398/$P398,0)</f>
        <v>0</v>
      </c>
      <c r="Y398" s="48">
        <f>SUM(Y397)</f>
        <v>585</v>
      </c>
      <c r="Z398" s="48">
        <f>SUM(Z397)</f>
        <v>585</v>
      </c>
    </row>
    <row r="399" spans="1:26" ht="13.9" customHeight="1" x14ac:dyDescent="0.25">
      <c r="A399" s="15">
        <v>6</v>
      </c>
      <c r="B399" s="15">
        <v>2</v>
      </c>
      <c r="C399" s="15">
        <v>1</v>
      </c>
      <c r="D399" s="86"/>
      <c r="E399" s="87"/>
      <c r="F399" s="27" t="s">
        <v>122</v>
      </c>
      <c r="G399" s="28">
        <f t="shared" ref="G399:Q399" si="214">G396+G398</f>
        <v>674.93</v>
      </c>
      <c r="H399" s="28">
        <f t="shared" si="214"/>
        <v>498.88</v>
      </c>
      <c r="I399" s="28">
        <f t="shared" si="214"/>
        <v>467</v>
      </c>
      <c r="J399" s="28">
        <f t="shared" si="214"/>
        <v>585</v>
      </c>
      <c r="K399" s="28">
        <f t="shared" si="214"/>
        <v>585</v>
      </c>
      <c r="L399" s="28">
        <f t="shared" si="214"/>
        <v>0</v>
      </c>
      <c r="M399" s="28">
        <f t="shared" si="214"/>
        <v>0</v>
      </c>
      <c r="N399" s="28">
        <f t="shared" si="214"/>
        <v>0</v>
      </c>
      <c r="O399" s="28">
        <f t="shared" si="214"/>
        <v>0</v>
      </c>
      <c r="P399" s="28">
        <f t="shared" si="214"/>
        <v>585</v>
      </c>
      <c r="Q399" s="28">
        <f t="shared" si="214"/>
        <v>78.25</v>
      </c>
      <c r="R399" s="29">
        <f>IFERROR(Q399/$P399,0)</f>
        <v>0.13376068376068376</v>
      </c>
      <c r="S399" s="28">
        <f>S396+S398</f>
        <v>0</v>
      </c>
      <c r="T399" s="29">
        <f>IFERROR(S399/$P399,0)</f>
        <v>0</v>
      </c>
      <c r="U399" s="28">
        <f>U396+U398</f>
        <v>0</v>
      </c>
      <c r="V399" s="29">
        <f>IFERROR(U399/$P399,0)</f>
        <v>0</v>
      </c>
      <c r="W399" s="28">
        <f>W396+W398</f>
        <v>0</v>
      </c>
      <c r="X399" s="29">
        <f>IFERROR(W399/$P399,0)</f>
        <v>0</v>
      </c>
      <c r="Y399" s="28">
        <f>Y396+Y398</f>
        <v>585</v>
      </c>
      <c r="Z399" s="28">
        <f>Z396+Z398</f>
        <v>585</v>
      </c>
    </row>
    <row r="401" spans="1:26" ht="13.9" customHeight="1" x14ac:dyDescent="0.25">
      <c r="E401" s="51" t="s">
        <v>55</v>
      </c>
      <c r="F401" s="30" t="s">
        <v>143</v>
      </c>
      <c r="G401" s="52">
        <v>630.92999999999995</v>
      </c>
      <c r="H401" s="52">
        <v>466.18</v>
      </c>
      <c r="I401" s="52">
        <v>445</v>
      </c>
      <c r="J401" s="52">
        <v>544</v>
      </c>
      <c r="K401" s="52">
        <v>544</v>
      </c>
      <c r="L401" s="52"/>
      <c r="M401" s="52"/>
      <c r="N401" s="52"/>
      <c r="O401" s="52"/>
      <c r="P401" s="52">
        <f>K401+SUM(L401:O401)</f>
        <v>544</v>
      </c>
      <c r="Q401" s="52">
        <v>73.08</v>
      </c>
      <c r="R401" s="53">
        <f>IFERROR(Q401/$P401,0)</f>
        <v>0.13433823529411765</v>
      </c>
      <c r="S401" s="52"/>
      <c r="T401" s="53">
        <f>IFERROR(S401/$P401,0)</f>
        <v>0</v>
      </c>
      <c r="U401" s="52"/>
      <c r="V401" s="53">
        <f>IFERROR(U401/$P401,0)</f>
        <v>0</v>
      </c>
      <c r="W401" s="52"/>
      <c r="X401" s="54">
        <f>IFERROR(W401/$P401,0)</f>
        <v>0</v>
      </c>
      <c r="Y401" s="52">
        <f>P401</f>
        <v>544</v>
      </c>
      <c r="Z401" s="55">
        <f>Y401</f>
        <v>544</v>
      </c>
    </row>
    <row r="402" spans="1:26" ht="13.9" customHeight="1" x14ac:dyDescent="0.25">
      <c r="E402" s="64"/>
      <c r="F402" s="65" t="s">
        <v>144</v>
      </c>
      <c r="G402" s="66">
        <v>44</v>
      </c>
      <c r="H402" s="66">
        <v>22</v>
      </c>
      <c r="I402" s="66">
        <v>22</v>
      </c>
      <c r="J402" s="66">
        <v>41</v>
      </c>
      <c r="K402" s="66">
        <v>41</v>
      </c>
      <c r="L402" s="66"/>
      <c r="M402" s="66"/>
      <c r="N402" s="66"/>
      <c r="O402" s="66"/>
      <c r="P402" s="66">
        <f>K402+SUM(L402:O402)</f>
        <v>41</v>
      </c>
      <c r="Q402" s="66">
        <v>5.17</v>
      </c>
      <c r="R402" s="67">
        <f>IFERROR(Q402/$P402,0)</f>
        <v>0.12609756097560976</v>
      </c>
      <c r="S402" s="66"/>
      <c r="T402" s="67">
        <f>IFERROR(S402/$P402,0)</f>
        <v>0</v>
      </c>
      <c r="U402" s="66"/>
      <c r="V402" s="67">
        <f>IFERROR(U402/$P402,0)</f>
        <v>0</v>
      </c>
      <c r="W402" s="66"/>
      <c r="X402" s="68">
        <f>IFERROR(W402/$P402,0)</f>
        <v>0</v>
      </c>
      <c r="Y402" s="66">
        <f>P402</f>
        <v>41</v>
      </c>
      <c r="Z402" s="69">
        <f>Y402</f>
        <v>41</v>
      </c>
    </row>
    <row r="404" spans="1:26" ht="13.9" customHeight="1" x14ac:dyDescent="0.25">
      <c r="D404" s="72" t="s">
        <v>225</v>
      </c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3"/>
      <c r="S404" s="72"/>
      <c r="T404" s="73"/>
      <c r="U404" s="72"/>
      <c r="V404" s="73"/>
      <c r="W404" s="72"/>
      <c r="X404" s="73"/>
      <c r="Y404" s="72"/>
      <c r="Z404" s="72"/>
    </row>
    <row r="405" spans="1:26" ht="13.9" customHeight="1" x14ac:dyDescent="0.25">
      <c r="D405" s="21" t="s">
        <v>32</v>
      </c>
      <c r="E405" s="21" t="s">
        <v>33</v>
      </c>
      <c r="F405" s="21" t="s">
        <v>34</v>
      </c>
      <c r="G405" s="21" t="s">
        <v>1</v>
      </c>
      <c r="H405" s="21" t="s">
        <v>2</v>
      </c>
      <c r="I405" s="21" t="s">
        <v>3</v>
      </c>
      <c r="J405" s="21" t="s">
        <v>4</v>
      </c>
      <c r="K405" s="21" t="s">
        <v>5</v>
      </c>
      <c r="L405" s="21" t="s">
        <v>6</v>
      </c>
      <c r="M405" s="21" t="s">
        <v>7</v>
      </c>
      <c r="N405" s="21" t="s">
        <v>8</v>
      </c>
      <c r="O405" s="21" t="s">
        <v>9</v>
      </c>
      <c r="P405" s="21" t="s">
        <v>10</v>
      </c>
      <c r="Q405" s="21" t="s">
        <v>11</v>
      </c>
      <c r="R405" s="22" t="s">
        <v>12</v>
      </c>
      <c r="S405" s="21" t="s">
        <v>13</v>
      </c>
      <c r="T405" s="22" t="s">
        <v>14</v>
      </c>
      <c r="U405" s="21" t="s">
        <v>15</v>
      </c>
      <c r="V405" s="22" t="s">
        <v>16</v>
      </c>
      <c r="W405" s="21" t="s">
        <v>17</v>
      </c>
      <c r="X405" s="22" t="s">
        <v>18</v>
      </c>
      <c r="Y405" s="21" t="s">
        <v>19</v>
      </c>
      <c r="Z405" s="21" t="s">
        <v>20</v>
      </c>
    </row>
    <row r="406" spans="1:26" ht="13.9" customHeight="1" x14ac:dyDescent="0.25">
      <c r="A406" s="15">
        <v>6</v>
      </c>
      <c r="B406" s="15">
        <v>2</v>
      </c>
      <c r="C406" s="15">
        <v>2</v>
      </c>
      <c r="D406" s="3" t="s">
        <v>224</v>
      </c>
      <c r="E406" s="24">
        <v>620</v>
      </c>
      <c r="F406" s="24" t="s">
        <v>128</v>
      </c>
      <c r="G406" s="25">
        <v>0</v>
      </c>
      <c r="H406" s="25">
        <v>53.65</v>
      </c>
      <c r="I406" s="25">
        <v>0</v>
      </c>
      <c r="J406" s="25">
        <v>251</v>
      </c>
      <c r="K406" s="25">
        <v>0</v>
      </c>
      <c r="L406" s="25"/>
      <c r="M406" s="25"/>
      <c r="N406" s="25"/>
      <c r="O406" s="25"/>
      <c r="P406" s="25">
        <f>K406+SUM(L406:O406)</f>
        <v>0</v>
      </c>
      <c r="Q406" s="25">
        <v>0</v>
      </c>
      <c r="R406" s="26">
        <f>IFERROR(Q406/$P406,0)</f>
        <v>0</v>
      </c>
      <c r="S406" s="25"/>
      <c r="T406" s="26">
        <f>IFERROR(S406/$P406,0)</f>
        <v>0</v>
      </c>
      <c r="U406" s="25"/>
      <c r="V406" s="26">
        <f>IFERROR(U406/$P406,0)</f>
        <v>0</v>
      </c>
      <c r="W406" s="25"/>
      <c r="X406" s="26">
        <f>IFERROR(W406/$P406,0)</f>
        <v>0</v>
      </c>
      <c r="Y406" s="25">
        <f>K406</f>
        <v>0</v>
      </c>
      <c r="Z406" s="25">
        <f>Y406</f>
        <v>0</v>
      </c>
    </row>
    <row r="407" spans="1:26" ht="13.9" customHeight="1" x14ac:dyDescent="0.25">
      <c r="A407" s="15">
        <v>6</v>
      </c>
      <c r="B407" s="15">
        <v>2</v>
      </c>
      <c r="C407" s="15">
        <v>2</v>
      </c>
      <c r="D407" s="3"/>
      <c r="E407" s="24">
        <v>630</v>
      </c>
      <c r="F407" s="24" t="s">
        <v>129</v>
      </c>
      <c r="G407" s="25">
        <v>9020.7999999999993</v>
      </c>
      <c r="H407" s="25">
        <v>9476.93</v>
      </c>
      <c r="I407" s="25">
        <v>9700</v>
      </c>
      <c r="J407" s="25">
        <v>5536</v>
      </c>
      <c r="K407" s="25">
        <v>6000</v>
      </c>
      <c r="L407" s="25"/>
      <c r="M407" s="25"/>
      <c r="N407" s="25"/>
      <c r="O407" s="25"/>
      <c r="P407" s="25">
        <f>K407+SUM(L407:O407)</f>
        <v>6000</v>
      </c>
      <c r="Q407" s="25">
        <v>0</v>
      </c>
      <c r="R407" s="26">
        <f>IFERROR(Q407/$P407,0)</f>
        <v>0</v>
      </c>
      <c r="S407" s="25"/>
      <c r="T407" s="26">
        <f>IFERROR(S407/$P407,0)</f>
        <v>0</v>
      </c>
      <c r="U407" s="25"/>
      <c r="V407" s="26">
        <f>IFERROR(U407/$P407,0)</f>
        <v>0</v>
      </c>
      <c r="W407" s="25"/>
      <c r="X407" s="26">
        <f>IFERROR(W407/$P407,0)</f>
        <v>0</v>
      </c>
      <c r="Y407" s="25">
        <f>K407</f>
        <v>6000</v>
      </c>
      <c r="Z407" s="25">
        <f>Y407</f>
        <v>6000</v>
      </c>
    </row>
    <row r="408" spans="1:26" ht="13.9" customHeight="1" x14ac:dyDescent="0.25">
      <c r="A408" s="15">
        <v>6</v>
      </c>
      <c r="B408" s="15">
        <v>2</v>
      </c>
      <c r="C408" s="15">
        <v>2</v>
      </c>
      <c r="D408" s="3" t="s">
        <v>224</v>
      </c>
      <c r="E408" s="24">
        <v>640</v>
      </c>
      <c r="F408" s="24" t="s">
        <v>130</v>
      </c>
      <c r="G408" s="25">
        <v>2675</v>
      </c>
      <c r="H408" s="25">
        <v>3650</v>
      </c>
      <c r="I408" s="25">
        <v>250</v>
      </c>
      <c r="J408" s="25">
        <v>650</v>
      </c>
      <c r="K408" s="25">
        <v>0</v>
      </c>
      <c r="L408" s="25"/>
      <c r="M408" s="25"/>
      <c r="N408" s="25"/>
      <c r="O408" s="25"/>
      <c r="P408" s="25">
        <f>K408+SUM(L408:O408)</f>
        <v>0</v>
      </c>
      <c r="Q408" s="25">
        <v>0</v>
      </c>
      <c r="R408" s="26">
        <f>IFERROR(Q408/$P408,0)</f>
        <v>0</v>
      </c>
      <c r="S408" s="25"/>
      <c r="T408" s="26">
        <f>IFERROR(S408/$P408,0)</f>
        <v>0</v>
      </c>
      <c r="U408" s="25"/>
      <c r="V408" s="26">
        <f>IFERROR(U408/$P408,0)</f>
        <v>0</v>
      </c>
      <c r="W408" s="25"/>
      <c r="X408" s="26">
        <f>IFERROR(W408/$P408,0)</f>
        <v>0</v>
      </c>
      <c r="Y408" s="25">
        <f>K408</f>
        <v>0</v>
      </c>
      <c r="Z408" s="25">
        <f>Y408</f>
        <v>0</v>
      </c>
    </row>
    <row r="409" spans="1:26" ht="13.9" customHeight="1" x14ac:dyDescent="0.25">
      <c r="A409" s="15">
        <v>6</v>
      </c>
      <c r="B409" s="15">
        <v>2</v>
      </c>
      <c r="C409" s="15">
        <v>2</v>
      </c>
      <c r="D409" s="79" t="s">
        <v>21</v>
      </c>
      <c r="E409" s="47">
        <v>41</v>
      </c>
      <c r="F409" s="47" t="s">
        <v>23</v>
      </c>
      <c r="G409" s="48">
        <f t="shared" ref="G409:Q409" si="215">SUM(G406:G408)</f>
        <v>11695.8</v>
      </c>
      <c r="H409" s="48">
        <f t="shared" si="215"/>
        <v>13180.58</v>
      </c>
      <c r="I409" s="48">
        <f t="shared" si="215"/>
        <v>9950</v>
      </c>
      <c r="J409" s="48">
        <f t="shared" si="215"/>
        <v>6437</v>
      </c>
      <c r="K409" s="48">
        <f t="shared" si="215"/>
        <v>6000</v>
      </c>
      <c r="L409" s="48">
        <f t="shared" si="215"/>
        <v>0</v>
      </c>
      <c r="M409" s="48">
        <f t="shared" si="215"/>
        <v>0</v>
      </c>
      <c r="N409" s="48">
        <f t="shared" si="215"/>
        <v>0</v>
      </c>
      <c r="O409" s="48">
        <f t="shared" si="215"/>
        <v>0</v>
      </c>
      <c r="P409" s="48">
        <f t="shared" si="215"/>
        <v>6000</v>
      </c>
      <c r="Q409" s="48">
        <f t="shared" si="215"/>
        <v>0</v>
      </c>
      <c r="R409" s="49">
        <f>IFERROR(Q409/$P409,0)</f>
        <v>0</v>
      </c>
      <c r="S409" s="48">
        <f>SUM(S406:S408)</f>
        <v>0</v>
      </c>
      <c r="T409" s="49">
        <f>IFERROR(S409/$P409,0)</f>
        <v>0</v>
      </c>
      <c r="U409" s="48">
        <f>SUM(U406:U408)</f>
        <v>0</v>
      </c>
      <c r="V409" s="49">
        <f>IFERROR(U409/$P409,0)</f>
        <v>0</v>
      </c>
      <c r="W409" s="48">
        <f>SUM(W406:W408)</f>
        <v>0</v>
      </c>
      <c r="X409" s="49">
        <f>IFERROR(W409/$P409,0)</f>
        <v>0</v>
      </c>
      <c r="Y409" s="48">
        <f>SUM(Y406:Y408)</f>
        <v>6000</v>
      </c>
      <c r="Z409" s="48">
        <f>SUM(Z406:Z408)</f>
        <v>6000</v>
      </c>
    </row>
    <row r="410" spans="1:26" ht="13.9" customHeight="1" x14ac:dyDescent="0.25">
      <c r="A410" s="15">
        <v>6</v>
      </c>
      <c r="B410" s="15">
        <v>2</v>
      </c>
      <c r="C410" s="15">
        <v>2</v>
      </c>
      <c r="D410" s="86"/>
      <c r="E410" s="87"/>
      <c r="F410" s="27" t="s">
        <v>122</v>
      </c>
      <c r="G410" s="28">
        <f t="shared" ref="G410:Q410" si="216">G409</f>
        <v>11695.8</v>
      </c>
      <c r="H410" s="28">
        <f t="shared" si="216"/>
        <v>13180.58</v>
      </c>
      <c r="I410" s="28">
        <f t="shared" si="216"/>
        <v>9950</v>
      </c>
      <c r="J410" s="28">
        <f t="shared" si="216"/>
        <v>6437</v>
      </c>
      <c r="K410" s="28">
        <f t="shared" si="216"/>
        <v>6000</v>
      </c>
      <c r="L410" s="28">
        <f t="shared" si="216"/>
        <v>0</v>
      </c>
      <c r="M410" s="28">
        <f t="shared" si="216"/>
        <v>0</v>
      </c>
      <c r="N410" s="28">
        <f t="shared" si="216"/>
        <v>0</v>
      </c>
      <c r="O410" s="28">
        <f t="shared" si="216"/>
        <v>0</v>
      </c>
      <c r="P410" s="28">
        <f t="shared" si="216"/>
        <v>6000</v>
      </c>
      <c r="Q410" s="28">
        <f t="shared" si="216"/>
        <v>0</v>
      </c>
      <c r="R410" s="29">
        <f>IFERROR(Q410/$P410,0)</f>
        <v>0</v>
      </c>
      <c r="S410" s="28">
        <f>S409</f>
        <v>0</v>
      </c>
      <c r="T410" s="29">
        <f>IFERROR(S410/$P410,0)</f>
        <v>0</v>
      </c>
      <c r="U410" s="28">
        <f>U409</f>
        <v>0</v>
      </c>
      <c r="V410" s="29">
        <f>IFERROR(U410/$P410,0)</f>
        <v>0</v>
      </c>
      <c r="W410" s="28">
        <f>W409</f>
        <v>0</v>
      </c>
      <c r="X410" s="29">
        <f>IFERROR(W410/$P410,0)</f>
        <v>0</v>
      </c>
      <c r="Y410" s="28">
        <f>Y409</f>
        <v>6000</v>
      </c>
      <c r="Z410" s="28">
        <f>Z409</f>
        <v>6000</v>
      </c>
    </row>
    <row r="412" spans="1:26" ht="13.9" hidden="1" customHeight="1" x14ac:dyDescent="0.25">
      <c r="E412" s="51" t="s">
        <v>55</v>
      </c>
      <c r="F412" s="30" t="s">
        <v>226</v>
      </c>
      <c r="G412" s="52">
        <v>2500</v>
      </c>
      <c r="H412" s="52">
        <v>3200</v>
      </c>
      <c r="I412" s="52">
        <v>0</v>
      </c>
      <c r="J412" s="52">
        <v>0</v>
      </c>
      <c r="K412" s="52">
        <v>0</v>
      </c>
      <c r="L412" s="52"/>
      <c r="M412" s="52"/>
      <c r="N412" s="52"/>
      <c r="O412" s="52"/>
      <c r="P412" s="52">
        <f>K412+SUM(L412:O412)</f>
        <v>0</v>
      </c>
      <c r="Q412" s="52"/>
      <c r="R412" s="53">
        <f>IFERROR(Q412/$P412,0)</f>
        <v>0</v>
      </c>
      <c r="S412" s="52"/>
      <c r="T412" s="53">
        <f>IFERROR(S412/$P412,0)</f>
        <v>0</v>
      </c>
      <c r="U412" s="52"/>
      <c r="V412" s="53">
        <f>IFERROR(U412/$P412,0)</f>
        <v>0</v>
      </c>
      <c r="W412" s="52"/>
      <c r="X412" s="54">
        <f>IFERROR(W412/$P412,0)</f>
        <v>0</v>
      </c>
      <c r="Y412" s="52">
        <f>K412</f>
        <v>0</v>
      </c>
      <c r="Z412" s="55">
        <f>Y412</f>
        <v>0</v>
      </c>
    </row>
    <row r="413" spans="1:26" ht="13.9" hidden="1" customHeight="1" x14ac:dyDescent="0.25">
      <c r="E413" s="56"/>
      <c r="F413" s="92" t="s">
        <v>227</v>
      </c>
      <c r="G413" s="95">
        <v>175</v>
      </c>
      <c r="H413" s="95">
        <v>450</v>
      </c>
      <c r="I413" s="95">
        <v>250</v>
      </c>
      <c r="J413" s="95">
        <v>650</v>
      </c>
      <c r="K413" s="95">
        <v>0</v>
      </c>
      <c r="L413" s="95"/>
      <c r="M413" s="95"/>
      <c r="N413" s="95"/>
      <c r="O413" s="95"/>
      <c r="P413" s="95">
        <f>K413+SUM(L413:O413)</f>
        <v>0</v>
      </c>
      <c r="Q413" s="95"/>
      <c r="R413" s="96">
        <f>IFERROR(Q413/$P413,0)</f>
        <v>0</v>
      </c>
      <c r="S413" s="95"/>
      <c r="T413" s="96">
        <f>IFERROR(S413/$P413,0)</f>
        <v>0</v>
      </c>
      <c r="U413" s="95"/>
      <c r="V413" s="96">
        <f>IFERROR(U413/$P413,0)</f>
        <v>0</v>
      </c>
      <c r="W413" s="95"/>
      <c r="X413" s="59">
        <f>IFERROR(W413/$P413,0)</f>
        <v>0</v>
      </c>
      <c r="Y413" s="58">
        <f>K413</f>
        <v>0</v>
      </c>
      <c r="Z413" s="60">
        <f>Y413</f>
        <v>0</v>
      </c>
    </row>
    <row r="414" spans="1:26" ht="13.9" customHeight="1" x14ac:dyDescent="0.25">
      <c r="E414" s="137" t="s">
        <v>55</v>
      </c>
      <c r="F414" s="138" t="s">
        <v>228</v>
      </c>
      <c r="G414" s="139">
        <v>5640.8</v>
      </c>
      <c r="H414" s="139">
        <v>5788</v>
      </c>
      <c r="I414" s="139">
        <v>5800</v>
      </c>
      <c r="J414" s="139">
        <v>3353</v>
      </c>
      <c r="K414" s="139">
        <v>3500</v>
      </c>
      <c r="L414" s="139"/>
      <c r="M414" s="139"/>
      <c r="N414" s="139"/>
      <c r="O414" s="139"/>
      <c r="P414" s="139">
        <f>K414+SUM(L414:O414)</f>
        <v>3500</v>
      </c>
      <c r="Q414" s="139">
        <v>0</v>
      </c>
      <c r="R414" s="140">
        <f>IFERROR(Q414/$P414,0)</f>
        <v>0</v>
      </c>
      <c r="S414" s="139"/>
      <c r="T414" s="140">
        <f>IFERROR(S414/$P414,0)</f>
        <v>0</v>
      </c>
      <c r="U414" s="139"/>
      <c r="V414" s="140">
        <f>IFERROR(U414/$P414,0)</f>
        <v>0</v>
      </c>
      <c r="W414" s="139"/>
      <c r="X414" s="141">
        <f>IFERROR(W414/$P414,0)</f>
        <v>0</v>
      </c>
      <c r="Y414" s="58">
        <f>K414</f>
        <v>3500</v>
      </c>
      <c r="Z414" s="60">
        <f>Y414</f>
        <v>3500</v>
      </c>
    </row>
    <row r="415" spans="1:26" ht="13.9" customHeight="1" x14ac:dyDescent="0.25">
      <c r="E415" s="64"/>
      <c r="F415" s="97" t="s">
        <v>229</v>
      </c>
      <c r="G415" s="98">
        <v>3380.4</v>
      </c>
      <c r="H415" s="98">
        <v>3742.58</v>
      </c>
      <c r="I415" s="98">
        <v>3900</v>
      </c>
      <c r="J415" s="98">
        <v>2434</v>
      </c>
      <c r="K415" s="98">
        <v>2500</v>
      </c>
      <c r="L415" s="98"/>
      <c r="M415" s="98"/>
      <c r="N415" s="98"/>
      <c r="O415" s="98"/>
      <c r="P415" s="98">
        <f>K415+SUM(L415:O415)</f>
        <v>2500</v>
      </c>
      <c r="Q415" s="98">
        <v>0</v>
      </c>
      <c r="R415" s="120">
        <f>IFERROR(Q415/$P415,0)</f>
        <v>0</v>
      </c>
      <c r="S415" s="98"/>
      <c r="T415" s="120">
        <f>IFERROR(S415/$P415,0)</f>
        <v>0</v>
      </c>
      <c r="U415" s="98"/>
      <c r="V415" s="120">
        <f>IFERROR(U415/$P415,0)</f>
        <v>0</v>
      </c>
      <c r="W415" s="98"/>
      <c r="X415" s="121">
        <f>IFERROR(W415/$P415,0)</f>
        <v>0</v>
      </c>
      <c r="Y415" s="98">
        <f>K415</f>
        <v>2500</v>
      </c>
      <c r="Z415" s="69">
        <f>Y415</f>
        <v>2500</v>
      </c>
    </row>
    <row r="417" spans="1:26" ht="13.9" customHeight="1" x14ac:dyDescent="0.25">
      <c r="D417" s="72" t="s">
        <v>230</v>
      </c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3"/>
      <c r="S417" s="72"/>
      <c r="T417" s="73"/>
      <c r="U417" s="72"/>
      <c r="V417" s="73"/>
      <c r="W417" s="72"/>
      <c r="X417" s="73"/>
      <c r="Y417" s="72"/>
      <c r="Z417" s="72"/>
    </row>
    <row r="418" spans="1:26" ht="13.9" customHeight="1" x14ac:dyDescent="0.25">
      <c r="D418" s="21" t="s">
        <v>32</v>
      </c>
      <c r="E418" s="21" t="s">
        <v>33</v>
      </c>
      <c r="F418" s="21" t="s">
        <v>34</v>
      </c>
      <c r="G418" s="21" t="s">
        <v>1</v>
      </c>
      <c r="H418" s="21" t="s">
        <v>2</v>
      </c>
      <c r="I418" s="21" t="s">
        <v>3</v>
      </c>
      <c r="J418" s="21" t="s">
        <v>4</v>
      </c>
      <c r="K418" s="21" t="s">
        <v>5</v>
      </c>
      <c r="L418" s="21" t="s">
        <v>6</v>
      </c>
      <c r="M418" s="21" t="s">
        <v>7</v>
      </c>
      <c r="N418" s="21" t="s">
        <v>8</v>
      </c>
      <c r="O418" s="21" t="s">
        <v>9</v>
      </c>
      <c r="P418" s="21" t="s">
        <v>10</v>
      </c>
      <c r="Q418" s="21" t="s">
        <v>11</v>
      </c>
      <c r="R418" s="22" t="s">
        <v>12</v>
      </c>
      <c r="S418" s="21" t="s">
        <v>13</v>
      </c>
      <c r="T418" s="22" t="s">
        <v>14</v>
      </c>
      <c r="U418" s="21" t="s">
        <v>15</v>
      </c>
      <c r="V418" s="22" t="s">
        <v>16</v>
      </c>
      <c r="W418" s="21" t="s">
        <v>17</v>
      </c>
      <c r="X418" s="22" t="s">
        <v>18</v>
      </c>
      <c r="Y418" s="21" t="s">
        <v>19</v>
      </c>
      <c r="Z418" s="21" t="s">
        <v>20</v>
      </c>
    </row>
    <row r="419" spans="1:26" ht="13.9" customHeight="1" x14ac:dyDescent="0.25">
      <c r="A419" s="15">
        <v>6</v>
      </c>
      <c r="B419" s="15">
        <v>2</v>
      </c>
      <c r="C419" s="15">
        <v>3</v>
      </c>
      <c r="D419" s="10" t="s">
        <v>224</v>
      </c>
      <c r="E419" s="24">
        <v>620</v>
      </c>
      <c r="F419" s="24" t="s">
        <v>128</v>
      </c>
      <c r="G419" s="25">
        <v>17.760000000000002</v>
      </c>
      <c r="H419" s="25">
        <v>17.760000000000002</v>
      </c>
      <c r="I419" s="25">
        <v>44</v>
      </c>
      <c r="J419" s="25">
        <v>18</v>
      </c>
      <c r="K419" s="25">
        <v>18</v>
      </c>
      <c r="L419" s="25"/>
      <c r="M419" s="25"/>
      <c r="N419" s="25"/>
      <c r="O419" s="25"/>
      <c r="P419" s="25">
        <f>K419+SUM(L419:O419)</f>
        <v>18</v>
      </c>
      <c r="Q419" s="25">
        <v>4.4400000000000004</v>
      </c>
      <c r="R419" s="26">
        <f>IFERROR(Q419/$P419,0)</f>
        <v>0.2466666666666667</v>
      </c>
      <c r="S419" s="25"/>
      <c r="T419" s="26">
        <f>IFERROR(S419/$P419,0)</f>
        <v>0</v>
      </c>
      <c r="U419" s="25"/>
      <c r="V419" s="26">
        <f>IFERROR(U419/$P419,0)</f>
        <v>0</v>
      </c>
      <c r="W419" s="25"/>
      <c r="X419" s="26">
        <f>IFERROR(W419/$P419,0)</f>
        <v>0</v>
      </c>
      <c r="Y419" s="25">
        <f>K419</f>
        <v>18</v>
      </c>
      <c r="Z419" s="25">
        <f>Y419</f>
        <v>18</v>
      </c>
    </row>
    <row r="420" spans="1:26" ht="13.9" customHeight="1" x14ac:dyDescent="0.25">
      <c r="A420" s="15">
        <v>6</v>
      </c>
      <c r="B420" s="15">
        <v>2</v>
      </c>
      <c r="C420" s="15">
        <v>3</v>
      </c>
      <c r="D420" s="10" t="s">
        <v>224</v>
      </c>
      <c r="E420" s="24">
        <v>630</v>
      </c>
      <c r="F420" s="24" t="s">
        <v>129</v>
      </c>
      <c r="G420" s="25">
        <v>2705.04</v>
      </c>
      <c r="H420" s="25">
        <v>2752.8</v>
      </c>
      <c r="I420" s="25">
        <v>3339</v>
      </c>
      <c r="J420" s="25">
        <v>2705</v>
      </c>
      <c r="K420" s="45">
        <v>2752</v>
      </c>
      <c r="L420" s="25"/>
      <c r="M420" s="25"/>
      <c r="N420" s="25"/>
      <c r="O420" s="25"/>
      <c r="P420" s="25">
        <f>K420+SUM(L420:O420)</f>
        <v>2752</v>
      </c>
      <c r="Q420" s="25">
        <v>555.54</v>
      </c>
      <c r="R420" s="26">
        <f>IFERROR(Q420/$P420,0)</f>
        <v>0.20186773255813953</v>
      </c>
      <c r="S420" s="25"/>
      <c r="T420" s="26">
        <f>IFERROR(S420/$P420,0)</f>
        <v>0</v>
      </c>
      <c r="U420" s="25"/>
      <c r="V420" s="26">
        <f>IFERROR(U420/$P420,0)</f>
        <v>0</v>
      </c>
      <c r="W420" s="25"/>
      <c r="X420" s="26">
        <f>IFERROR(W420/$P420,0)</f>
        <v>0</v>
      </c>
      <c r="Y420" s="25">
        <f>K420</f>
        <v>2752</v>
      </c>
      <c r="Z420" s="25">
        <f>Y420</f>
        <v>2752</v>
      </c>
    </row>
    <row r="421" spans="1:26" ht="13.9" customHeight="1" x14ac:dyDescent="0.25">
      <c r="A421" s="15">
        <v>6</v>
      </c>
      <c r="B421" s="15">
        <v>2</v>
      </c>
      <c r="C421" s="15">
        <v>3</v>
      </c>
      <c r="D421" s="79" t="s">
        <v>21</v>
      </c>
      <c r="E421" s="47">
        <v>41</v>
      </c>
      <c r="F421" s="47" t="s">
        <v>23</v>
      </c>
      <c r="G421" s="48">
        <f t="shared" ref="G421:Q421" si="217">SUM(G419:G420)</f>
        <v>2722.8</v>
      </c>
      <c r="H421" s="48">
        <f t="shared" si="217"/>
        <v>2770.5600000000004</v>
      </c>
      <c r="I421" s="48">
        <f t="shared" si="217"/>
        <v>3383</v>
      </c>
      <c r="J421" s="48">
        <f t="shared" si="217"/>
        <v>2723</v>
      </c>
      <c r="K421" s="48">
        <f t="shared" si="217"/>
        <v>2770</v>
      </c>
      <c r="L421" s="48">
        <f t="shared" si="217"/>
        <v>0</v>
      </c>
      <c r="M421" s="48">
        <f t="shared" si="217"/>
        <v>0</v>
      </c>
      <c r="N421" s="48">
        <f t="shared" si="217"/>
        <v>0</v>
      </c>
      <c r="O421" s="48">
        <f t="shared" si="217"/>
        <v>0</v>
      </c>
      <c r="P421" s="48">
        <f t="shared" si="217"/>
        <v>2770</v>
      </c>
      <c r="Q421" s="48">
        <f t="shared" si="217"/>
        <v>559.98</v>
      </c>
      <c r="R421" s="49">
        <f>IFERROR(Q421/$P421,0)</f>
        <v>0.20215884476534296</v>
      </c>
      <c r="S421" s="48">
        <f>SUM(S419:S420)</f>
        <v>0</v>
      </c>
      <c r="T421" s="49">
        <f>IFERROR(S421/$P421,0)</f>
        <v>0</v>
      </c>
      <c r="U421" s="48">
        <f>SUM(U419:U420)</f>
        <v>0</v>
      </c>
      <c r="V421" s="49">
        <f>IFERROR(U421/$P421,0)</f>
        <v>0</v>
      </c>
      <c r="W421" s="48">
        <f>SUM(W419:W420)</f>
        <v>0</v>
      </c>
      <c r="X421" s="49">
        <f>IFERROR(W421/$P421,0)</f>
        <v>0</v>
      </c>
      <c r="Y421" s="48">
        <f>SUM(Y419:Y420)</f>
        <v>2770</v>
      </c>
      <c r="Z421" s="48">
        <f>SUM(Z419:Z420)</f>
        <v>2770</v>
      </c>
    </row>
    <row r="422" spans="1:26" ht="13.9" customHeight="1" x14ac:dyDescent="0.25">
      <c r="A422" s="15">
        <v>6</v>
      </c>
      <c r="B422" s="15">
        <v>2</v>
      </c>
      <c r="C422" s="15">
        <v>3</v>
      </c>
      <c r="D422" s="86"/>
      <c r="E422" s="87"/>
      <c r="F422" s="27" t="s">
        <v>122</v>
      </c>
      <c r="G422" s="28">
        <f t="shared" ref="G422:Q422" si="218">G421</f>
        <v>2722.8</v>
      </c>
      <c r="H422" s="28">
        <f t="shared" si="218"/>
        <v>2770.5600000000004</v>
      </c>
      <c r="I422" s="28">
        <f t="shared" si="218"/>
        <v>3383</v>
      </c>
      <c r="J422" s="28">
        <f t="shared" si="218"/>
        <v>2723</v>
      </c>
      <c r="K422" s="28">
        <f t="shared" si="218"/>
        <v>2770</v>
      </c>
      <c r="L422" s="28">
        <f t="shared" si="218"/>
        <v>0</v>
      </c>
      <c r="M422" s="28">
        <f t="shared" si="218"/>
        <v>0</v>
      </c>
      <c r="N422" s="28">
        <f t="shared" si="218"/>
        <v>0</v>
      </c>
      <c r="O422" s="28">
        <f t="shared" si="218"/>
        <v>0</v>
      </c>
      <c r="P422" s="28">
        <f t="shared" si="218"/>
        <v>2770</v>
      </c>
      <c r="Q422" s="28">
        <f t="shared" si="218"/>
        <v>559.98</v>
      </c>
      <c r="R422" s="29">
        <f>IFERROR(Q422/$P422,0)</f>
        <v>0.20215884476534296</v>
      </c>
      <c r="S422" s="28">
        <f>S421</f>
        <v>0</v>
      </c>
      <c r="T422" s="29">
        <f>IFERROR(S422/$P422,0)</f>
        <v>0</v>
      </c>
      <c r="U422" s="28">
        <f>U421</f>
        <v>0</v>
      </c>
      <c r="V422" s="29">
        <f>IFERROR(U422/$P422,0)</f>
        <v>0</v>
      </c>
      <c r="W422" s="28">
        <f>W421</f>
        <v>0</v>
      </c>
      <c r="X422" s="29">
        <f>IFERROR(W422/$P422,0)</f>
        <v>0</v>
      </c>
      <c r="Y422" s="28">
        <f>Y421</f>
        <v>2770</v>
      </c>
      <c r="Z422" s="28">
        <f>Z421</f>
        <v>2770</v>
      </c>
    </row>
    <row r="424" spans="1:26" ht="13.9" customHeight="1" x14ac:dyDescent="0.25">
      <c r="D424" s="41" t="s">
        <v>231</v>
      </c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2"/>
      <c r="S424" s="41"/>
      <c r="T424" s="42"/>
      <c r="U424" s="41"/>
      <c r="V424" s="42"/>
      <c r="W424" s="41"/>
      <c r="X424" s="42"/>
      <c r="Y424" s="41"/>
      <c r="Z424" s="41"/>
    </row>
    <row r="425" spans="1:26" ht="13.9" customHeight="1" x14ac:dyDescent="0.25">
      <c r="A425" s="15">
        <v>6</v>
      </c>
      <c r="B425" s="15">
        <v>3</v>
      </c>
      <c r="D425" s="13" t="s">
        <v>21</v>
      </c>
      <c r="E425" s="24">
        <v>111</v>
      </c>
      <c r="F425" s="24" t="s">
        <v>132</v>
      </c>
      <c r="G425" s="25">
        <f t="shared" ref="G425:Q425" si="219">G432</f>
        <v>470.16</v>
      </c>
      <c r="H425" s="25">
        <f t="shared" si="219"/>
        <v>0</v>
      </c>
      <c r="I425" s="25">
        <f t="shared" si="219"/>
        <v>0</v>
      </c>
      <c r="J425" s="25">
        <f t="shared" si="219"/>
        <v>0</v>
      </c>
      <c r="K425" s="25">
        <f t="shared" si="219"/>
        <v>0</v>
      </c>
      <c r="L425" s="25">
        <f t="shared" si="219"/>
        <v>0</v>
      </c>
      <c r="M425" s="25">
        <f t="shared" si="219"/>
        <v>0</v>
      </c>
      <c r="N425" s="25">
        <f t="shared" si="219"/>
        <v>0</v>
      </c>
      <c r="O425" s="25">
        <f t="shared" si="219"/>
        <v>0</v>
      </c>
      <c r="P425" s="25">
        <f t="shared" si="219"/>
        <v>0</v>
      </c>
      <c r="Q425" s="25">
        <f t="shared" si="219"/>
        <v>0</v>
      </c>
      <c r="R425" s="26">
        <f>IFERROR(Q425/$P425,0)</f>
        <v>0</v>
      </c>
      <c r="S425" s="25">
        <f>S432</f>
        <v>0</v>
      </c>
      <c r="T425" s="26">
        <f>IFERROR(S425/$P425,0)</f>
        <v>0</v>
      </c>
      <c r="U425" s="25">
        <f>U432</f>
        <v>0</v>
      </c>
      <c r="V425" s="26">
        <f>IFERROR(U425/$P425,0)</f>
        <v>0</v>
      </c>
      <c r="W425" s="25">
        <f>W432</f>
        <v>0</v>
      </c>
      <c r="X425" s="26">
        <f>IFERROR(W425/$P425,0)</f>
        <v>0</v>
      </c>
      <c r="Y425" s="25">
        <f>Y432</f>
        <v>0</v>
      </c>
      <c r="Z425" s="25">
        <f>Z432</f>
        <v>0</v>
      </c>
    </row>
    <row r="426" spans="1:26" ht="13.9" customHeight="1" x14ac:dyDescent="0.25">
      <c r="A426" s="15">
        <v>6</v>
      </c>
      <c r="B426" s="15">
        <v>3</v>
      </c>
      <c r="D426" s="13" t="s">
        <v>21</v>
      </c>
      <c r="E426" s="24">
        <v>41</v>
      </c>
      <c r="F426" s="24" t="s">
        <v>23</v>
      </c>
      <c r="G426" s="25">
        <f t="shared" ref="G426:Q426" si="220">G434+G443</f>
        <v>9530.880000000001</v>
      </c>
      <c r="H426" s="25">
        <f t="shared" si="220"/>
        <v>10184.290000000001</v>
      </c>
      <c r="I426" s="25">
        <f t="shared" si="220"/>
        <v>10928</v>
      </c>
      <c r="J426" s="25">
        <f t="shared" si="220"/>
        <v>11747</v>
      </c>
      <c r="K426" s="25">
        <f t="shared" si="220"/>
        <v>10950</v>
      </c>
      <c r="L426" s="25">
        <f t="shared" si="220"/>
        <v>0</v>
      </c>
      <c r="M426" s="25">
        <f t="shared" si="220"/>
        <v>0</v>
      </c>
      <c r="N426" s="25">
        <f t="shared" si="220"/>
        <v>0</v>
      </c>
      <c r="O426" s="25">
        <f t="shared" si="220"/>
        <v>0</v>
      </c>
      <c r="P426" s="25">
        <f t="shared" si="220"/>
        <v>10950</v>
      </c>
      <c r="Q426" s="25">
        <f t="shared" si="220"/>
        <v>3774.21</v>
      </c>
      <c r="R426" s="26">
        <f>IFERROR(Q426/$P426,0)</f>
        <v>0.34467671232876712</v>
      </c>
      <c r="S426" s="25">
        <f>S434+S443</f>
        <v>0</v>
      </c>
      <c r="T426" s="26">
        <f>IFERROR(S426/$P426,0)</f>
        <v>0</v>
      </c>
      <c r="U426" s="25">
        <f>U434+U443</f>
        <v>0</v>
      </c>
      <c r="V426" s="26">
        <f>IFERROR(U426/$P426,0)</f>
        <v>0</v>
      </c>
      <c r="W426" s="25">
        <f>W434+W443</f>
        <v>0</v>
      </c>
      <c r="X426" s="26">
        <f>IFERROR(W426/$P426,0)</f>
        <v>0</v>
      </c>
      <c r="Y426" s="25">
        <f>Y434+Y443</f>
        <v>10950</v>
      </c>
      <c r="Z426" s="25">
        <f>Z434+Z443</f>
        <v>10950</v>
      </c>
    </row>
    <row r="427" spans="1:26" ht="13.9" customHeight="1" x14ac:dyDescent="0.25">
      <c r="A427" s="15">
        <v>6</v>
      </c>
      <c r="B427" s="15">
        <v>3</v>
      </c>
      <c r="D427" s="30"/>
      <c r="E427" s="31"/>
      <c r="F427" s="27" t="s">
        <v>122</v>
      </c>
      <c r="G427" s="28">
        <f t="shared" ref="G427:Q427" si="221">SUM(G425:G426)</f>
        <v>10001.040000000001</v>
      </c>
      <c r="H427" s="28">
        <f t="shared" si="221"/>
        <v>10184.290000000001</v>
      </c>
      <c r="I427" s="28">
        <f t="shared" si="221"/>
        <v>10928</v>
      </c>
      <c r="J427" s="28">
        <f t="shared" si="221"/>
        <v>11747</v>
      </c>
      <c r="K427" s="28">
        <f t="shared" si="221"/>
        <v>10950</v>
      </c>
      <c r="L427" s="28">
        <f t="shared" si="221"/>
        <v>0</v>
      </c>
      <c r="M427" s="28">
        <f t="shared" si="221"/>
        <v>0</v>
      </c>
      <c r="N427" s="28">
        <f t="shared" si="221"/>
        <v>0</v>
      </c>
      <c r="O427" s="28">
        <f t="shared" si="221"/>
        <v>0</v>
      </c>
      <c r="P427" s="28">
        <f t="shared" si="221"/>
        <v>10950</v>
      </c>
      <c r="Q427" s="28">
        <f t="shared" si="221"/>
        <v>3774.21</v>
      </c>
      <c r="R427" s="29">
        <f>IFERROR(Q427/$P427,0)</f>
        <v>0.34467671232876712</v>
      </c>
      <c r="S427" s="28">
        <f>SUM(S425:S426)</f>
        <v>0</v>
      </c>
      <c r="T427" s="29">
        <f>IFERROR(S427/$P427,0)</f>
        <v>0</v>
      </c>
      <c r="U427" s="28">
        <f>SUM(U425:U426)</f>
        <v>0</v>
      </c>
      <c r="V427" s="29">
        <f>IFERROR(U427/$P427,0)</f>
        <v>0</v>
      </c>
      <c r="W427" s="28">
        <f>SUM(W425:W426)</f>
        <v>0</v>
      </c>
      <c r="X427" s="29">
        <f>IFERROR(W427/$P427,0)</f>
        <v>0</v>
      </c>
      <c r="Y427" s="28">
        <f>SUM(Y425:Y426)</f>
        <v>10950</v>
      </c>
      <c r="Z427" s="28">
        <f>SUM(Z425:Z426)</f>
        <v>10950</v>
      </c>
    </row>
    <row r="429" spans="1:26" ht="13.9" customHeight="1" x14ac:dyDescent="0.25">
      <c r="D429" s="72" t="s">
        <v>232</v>
      </c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3"/>
      <c r="S429" s="72"/>
      <c r="T429" s="73"/>
      <c r="U429" s="72"/>
      <c r="V429" s="73"/>
      <c r="W429" s="72"/>
      <c r="X429" s="73"/>
      <c r="Y429" s="72"/>
      <c r="Z429" s="72"/>
    </row>
    <row r="430" spans="1:26" ht="13.9" customHeight="1" x14ac:dyDescent="0.25">
      <c r="D430" s="21" t="s">
        <v>32</v>
      </c>
      <c r="E430" s="21" t="s">
        <v>33</v>
      </c>
      <c r="F430" s="21" t="s">
        <v>34</v>
      </c>
      <c r="G430" s="21" t="s">
        <v>1</v>
      </c>
      <c r="H430" s="21" t="s">
        <v>2</v>
      </c>
      <c r="I430" s="21" t="s">
        <v>3</v>
      </c>
      <c r="J430" s="21" t="s">
        <v>4</v>
      </c>
      <c r="K430" s="21" t="s">
        <v>5</v>
      </c>
      <c r="L430" s="21" t="s">
        <v>6</v>
      </c>
      <c r="M430" s="21" t="s">
        <v>7</v>
      </c>
      <c r="N430" s="21" t="s">
        <v>8</v>
      </c>
      <c r="O430" s="21" t="s">
        <v>9</v>
      </c>
      <c r="P430" s="21" t="s">
        <v>10</v>
      </c>
      <c r="Q430" s="21" t="s">
        <v>11</v>
      </c>
      <c r="R430" s="22" t="s">
        <v>12</v>
      </c>
      <c r="S430" s="21" t="s">
        <v>13</v>
      </c>
      <c r="T430" s="22" t="s">
        <v>14</v>
      </c>
      <c r="U430" s="21" t="s">
        <v>15</v>
      </c>
      <c r="V430" s="22" t="s">
        <v>16</v>
      </c>
      <c r="W430" s="21" t="s">
        <v>17</v>
      </c>
      <c r="X430" s="22" t="s">
        <v>18</v>
      </c>
      <c r="Y430" s="21" t="s">
        <v>19</v>
      </c>
      <c r="Z430" s="21" t="s">
        <v>20</v>
      </c>
    </row>
    <row r="431" spans="1:26" ht="13.9" hidden="1" customHeight="1" x14ac:dyDescent="0.25">
      <c r="A431" s="15">
        <v>6</v>
      </c>
      <c r="B431" s="15">
        <v>3</v>
      </c>
      <c r="C431" s="15">
        <v>1</v>
      </c>
      <c r="D431" s="84" t="s">
        <v>233</v>
      </c>
      <c r="E431" s="24">
        <v>630</v>
      </c>
      <c r="F431" s="24" t="s">
        <v>129</v>
      </c>
      <c r="G431" s="25">
        <v>470.16</v>
      </c>
      <c r="H431" s="25">
        <v>0</v>
      </c>
      <c r="I431" s="25">
        <v>0</v>
      </c>
      <c r="J431" s="25">
        <v>0</v>
      </c>
      <c r="K431" s="25">
        <v>0</v>
      </c>
      <c r="L431" s="25"/>
      <c r="M431" s="25"/>
      <c r="N431" s="25"/>
      <c r="O431" s="25"/>
      <c r="P431" s="25">
        <f>K431+SUM(L431:O431)</f>
        <v>0</v>
      </c>
      <c r="Q431" s="25"/>
      <c r="R431" s="26">
        <f>IFERROR(Q431/$P431,0)</f>
        <v>0</v>
      </c>
      <c r="S431" s="25"/>
      <c r="T431" s="26">
        <f>IFERROR(S431/$P431,0)</f>
        <v>0</v>
      </c>
      <c r="U431" s="25"/>
      <c r="V431" s="26">
        <f>IFERROR(U431/$P431,0)</f>
        <v>0</v>
      </c>
      <c r="W431" s="25"/>
      <c r="X431" s="26">
        <f>IFERROR(W431/$P431,0)</f>
        <v>0</v>
      </c>
      <c r="Y431" s="25">
        <v>0</v>
      </c>
      <c r="Z431" s="25">
        <f>Y431</f>
        <v>0</v>
      </c>
    </row>
    <row r="432" spans="1:26" ht="13.9" hidden="1" customHeight="1" x14ac:dyDescent="0.25">
      <c r="A432" s="15">
        <v>6</v>
      </c>
      <c r="B432" s="15">
        <v>3</v>
      </c>
      <c r="C432" s="15">
        <v>1</v>
      </c>
      <c r="D432" s="79" t="s">
        <v>21</v>
      </c>
      <c r="E432" s="85">
        <v>111</v>
      </c>
      <c r="F432" s="47" t="s">
        <v>132</v>
      </c>
      <c r="G432" s="48">
        <f t="shared" ref="G432:Q432" si="222">SUM(G431)</f>
        <v>470.16</v>
      </c>
      <c r="H432" s="48">
        <f t="shared" si="222"/>
        <v>0</v>
      </c>
      <c r="I432" s="48">
        <f t="shared" si="222"/>
        <v>0</v>
      </c>
      <c r="J432" s="48">
        <f t="shared" si="222"/>
        <v>0</v>
      </c>
      <c r="K432" s="48">
        <f t="shared" si="222"/>
        <v>0</v>
      </c>
      <c r="L432" s="48">
        <f t="shared" si="222"/>
        <v>0</v>
      </c>
      <c r="M432" s="48">
        <f t="shared" si="222"/>
        <v>0</v>
      </c>
      <c r="N432" s="48">
        <f t="shared" si="222"/>
        <v>0</v>
      </c>
      <c r="O432" s="48">
        <f t="shared" si="222"/>
        <v>0</v>
      </c>
      <c r="P432" s="48">
        <f t="shared" si="222"/>
        <v>0</v>
      </c>
      <c r="Q432" s="48">
        <f t="shared" si="222"/>
        <v>0</v>
      </c>
      <c r="R432" s="49">
        <f>IFERROR(Q432/$P432,0)</f>
        <v>0</v>
      </c>
      <c r="S432" s="48">
        <f>SUM(S431)</f>
        <v>0</v>
      </c>
      <c r="T432" s="49">
        <f>IFERROR(S432/$P432,0)</f>
        <v>0</v>
      </c>
      <c r="U432" s="48">
        <f>SUM(U431)</f>
        <v>0</v>
      </c>
      <c r="V432" s="49">
        <f>IFERROR(U432/$P432,0)</f>
        <v>0</v>
      </c>
      <c r="W432" s="48">
        <f>SUM(W431)</f>
        <v>0</v>
      </c>
      <c r="X432" s="49">
        <f>IFERROR(W432/$P432,0)</f>
        <v>0</v>
      </c>
      <c r="Y432" s="48">
        <f>SUM(Y431)</f>
        <v>0</v>
      </c>
      <c r="Z432" s="48">
        <f>SUM(Z431)</f>
        <v>0</v>
      </c>
    </row>
    <row r="433" spans="1:26" ht="13.9" customHeight="1" x14ac:dyDescent="0.25">
      <c r="A433" s="15">
        <v>6</v>
      </c>
      <c r="B433" s="15">
        <v>3</v>
      </c>
      <c r="C433" s="15">
        <v>1</v>
      </c>
      <c r="D433" s="84" t="s">
        <v>233</v>
      </c>
      <c r="E433" s="24">
        <v>630</v>
      </c>
      <c r="F433" s="24" t="s">
        <v>129</v>
      </c>
      <c r="G433" s="25">
        <v>5130.88</v>
      </c>
      <c r="H433" s="25">
        <v>5334.29</v>
      </c>
      <c r="I433" s="25">
        <v>5078</v>
      </c>
      <c r="J433" s="25">
        <v>6097</v>
      </c>
      <c r="K433" s="25">
        <v>6800</v>
      </c>
      <c r="L433" s="25"/>
      <c r="M433" s="25"/>
      <c r="N433" s="25"/>
      <c r="O433" s="25"/>
      <c r="P433" s="25">
        <f>K433+SUM(L433:O433)</f>
        <v>6800</v>
      </c>
      <c r="Q433" s="25">
        <v>224.21</v>
      </c>
      <c r="R433" s="26">
        <f>IFERROR(Q433/$P433,0)</f>
        <v>3.297205882352941E-2</v>
      </c>
      <c r="S433" s="25"/>
      <c r="T433" s="26">
        <f>IFERROR(S433/$P433,0)</f>
        <v>0</v>
      </c>
      <c r="U433" s="25"/>
      <c r="V433" s="26">
        <f>IFERROR(U433/$P433,0)</f>
        <v>0</v>
      </c>
      <c r="W433" s="25"/>
      <c r="X433" s="26">
        <f>IFERROR(W433/$P433,0)</f>
        <v>0</v>
      </c>
      <c r="Y433" s="25">
        <f>K433</f>
        <v>6800</v>
      </c>
      <c r="Z433" s="25">
        <f>Y433</f>
        <v>6800</v>
      </c>
    </row>
    <row r="434" spans="1:26" ht="13.9" customHeight="1" x14ac:dyDescent="0.25">
      <c r="A434" s="15">
        <v>6</v>
      </c>
      <c r="B434" s="15">
        <v>3</v>
      </c>
      <c r="C434" s="15">
        <v>1</v>
      </c>
      <c r="D434" s="79" t="s">
        <v>21</v>
      </c>
      <c r="E434" s="47">
        <v>41</v>
      </c>
      <c r="F434" s="47" t="s">
        <v>23</v>
      </c>
      <c r="G434" s="48">
        <f t="shared" ref="G434:Q434" si="223">SUM(G433)</f>
        <v>5130.88</v>
      </c>
      <c r="H434" s="48">
        <f t="shared" si="223"/>
        <v>5334.29</v>
      </c>
      <c r="I434" s="48">
        <f t="shared" si="223"/>
        <v>5078</v>
      </c>
      <c r="J434" s="48">
        <f t="shared" si="223"/>
        <v>6097</v>
      </c>
      <c r="K434" s="48">
        <f t="shared" si="223"/>
        <v>6800</v>
      </c>
      <c r="L434" s="48">
        <f t="shared" si="223"/>
        <v>0</v>
      </c>
      <c r="M434" s="48">
        <f t="shared" si="223"/>
        <v>0</v>
      </c>
      <c r="N434" s="48">
        <f t="shared" si="223"/>
        <v>0</v>
      </c>
      <c r="O434" s="48">
        <f t="shared" si="223"/>
        <v>0</v>
      </c>
      <c r="P434" s="48">
        <f t="shared" si="223"/>
        <v>6800</v>
      </c>
      <c r="Q434" s="48">
        <f t="shared" si="223"/>
        <v>224.21</v>
      </c>
      <c r="R434" s="49">
        <f>IFERROR(Q434/$P434,0)</f>
        <v>3.297205882352941E-2</v>
      </c>
      <c r="S434" s="48">
        <f>SUM(S433)</f>
        <v>0</v>
      </c>
      <c r="T434" s="49">
        <f>IFERROR(S434/$P434,0)</f>
        <v>0</v>
      </c>
      <c r="U434" s="48">
        <f>SUM(U433)</f>
        <v>0</v>
      </c>
      <c r="V434" s="49">
        <f>IFERROR(U434/$P434,0)</f>
        <v>0</v>
      </c>
      <c r="W434" s="48">
        <f>SUM(W433)</f>
        <v>0</v>
      </c>
      <c r="X434" s="49">
        <f>IFERROR(W434/$P434,0)</f>
        <v>0</v>
      </c>
      <c r="Y434" s="48">
        <f>SUM(Y433)</f>
        <v>6800</v>
      </c>
      <c r="Z434" s="48">
        <f>SUM(Z433)</f>
        <v>6800</v>
      </c>
    </row>
    <row r="435" spans="1:26" ht="13.9" customHeight="1" x14ac:dyDescent="0.25">
      <c r="A435" s="15">
        <v>6</v>
      </c>
      <c r="B435" s="15">
        <v>3</v>
      </c>
      <c r="C435" s="15">
        <v>1</v>
      </c>
      <c r="D435" s="86"/>
      <c r="E435" s="87"/>
      <c r="F435" s="27" t="s">
        <v>122</v>
      </c>
      <c r="G435" s="28">
        <f t="shared" ref="G435:Q435" si="224">G432+G434</f>
        <v>5601.04</v>
      </c>
      <c r="H435" s="28">
        <f t="shared" si="224"/>
        <v>5334.29</v>
      </c>
      <c r="I435" s="28">
        <f t="shared" si="224"/>
        <v>5078</v>
      </c>
      <c r="J435" s="28">
        <f t="shared" si="224"/>
        <v>6097</v>
      </c>
      <c r="K435" s="28">
        <f t="shared" si="224"/>
        <v>6800</v>
      </c>
      <c r="L435" s="28">
        <f t="shared" si="224"/>
        <v>0</v>
      </c>
      <c r="M435" s="28">
        <f t="shared" si="224"/>
        <v>0</v>
      </c>
      <c r="N435" s="28">
        <f t="shared" si="224"/>
        <v>0</v>
      </c>
      <c r="O435" s="28">
        <f t="shared" si="224"/>
        <v>0</v>
      </c>
      <c r="P435" s="28">
        <f t="shared" si="224"/>
        <v>6800</v>
      </c>
      <c r="Q435" s="28">
        <f t="shared" si="224"/>
        <v>224.21</v>
      </c>
      <c r="R435" s="29">
        <f>IFERROR(Q435/$P435,0)</f>
        <v>3.297205882352941E-2</v>
      </c>
      <c r="S435" s="28">
        <f>S432+S434</f>
        <v>0</v>
      </c>
      <c r="T435" s="29">
        <f>IFERROR(S435/$P435,0)</f>
        <v>0</v>
      </c>
      <c r="U435" s="28">
        <f>U432+U434</f>
        <v>0</v>
      </c>
      <c r="V435" s="29">
        <f>IFERROR(U435/$P435,0)</f>
        <v>0</v>
      </c>
      <c r="W435" s="28">
        <f>W432+W434</f>
        <v>0</v>
      </c>
      <c r="X435" s="29">
        <f>IFERROR(W435/$P435,0)</f>
        <v>0</v>
      </c>
      <c r="Y435" s="28">
        <f>Y432+Y434</f>
        <v>6800</v>
      </c>
      <c r="Z435" s="28">
        <f>Z432+Z434</f>
        <v>6800</v>
      </c>
    </row>
    <row r="437" spans="1:26" ht="13.9" customHeight="1" x14ac:dyDescent="0.25">
      <c r="E437" s="51" t="s">
        <v>55</v>
      </c>
      <c r="F437" s="30" t="s">
        <v>143</v>
      </c>
      <c r="G437" s="52">
        <v>2296</v>
      </c>
      <c r="H437" s="52">
        <v>1234.8399999999999</v>
      </c>
      <c r="I437" s="52">
        <v>1220</v>
      </c>
      <c r="J437" s="52">
        <v>1371</v>
      </c>
      <c r="K437" s="52">
        <v>1370</v>
      </c>
      <c r="L437" s="52"/>
      <c r="M437" s="52"/>
      <c r="N437" s="52"/>
      <c r="O437" s="52"/>
      <c r="P437" s="52">
        <f>K437+SUM(L437:O437)</f>
        <v>1370</v>
      </c>
      <c r="Q437" s="52">
        <v>224.21</v>
      </c>
      <c r="R437" s="53">
        <f>IFERROR(Q437/$P437,0)</f>
        <v>0.16365693430656936</v>
      </c>
      <c r="S437" s="52"/>
      <c r="T437" s="53">
        <f>IFERROR(S437/$P437,0)</f>
        <v>0</v>
      </c>
      <c r="U437" s="52"/>
      <c r="V437" s="53">
        <f>IFERROR(U437/$P437,0)</f>
        <v>0</v>
      </c>
      <c r="W437" s="52"/>
      <c r="X437" s="54">
        <f>IFERROR(W437/$P437,0)</f>
        <v>0</v>
      </c>
      <c r="Y437" s="52">
        <f>K437</f>
        <v>1370</v>
      </c>
      <c r="Z437" s="55">
        <f>Y437</f>
        <v>1370</v>
      </c>
    </row>
    <row r="438" spans="1:26" ht="13.9" customHeight="1" x14ac:dyDescent="0.25">
      <c r="E438" s="64"/>
      <c r="F438" s="97" t="s">
        <v>234</v>
      </c>
      <c r="G438" s="66">
        <v>3000</v>
      </c>
      <c r="H438" s="66">
        <v>1500</v>
      </c>
      <c r="I438" s="66">
        <v>3000</v>
      </c>
      <c r="J438" s="66">
        <v>4500</v>
      </c>
      <c r="K438" s="66">
        <v>4800</v>
      </c>
      <c r="L438" s="66"/>
      <c r="M438" s="66"/>
      <c r="N438" s="66"/>
      <c r="O438" s="66"/>
      <c r="P438" s="66">
        <f>K438+SUM(L438:O438)</f>
        <v>4800</v>
      </c>
      <c r="Q438" s="66">
        <v>0</v>
      </c>
      <c r="R438" s="67">
        <f>IFERROR(Q438/$P438,0)</f>
        <v>0</v>
      </c>
      <c r="S438" s="66"/>
      <c r="T438" s="67">
        <f>IFERROR(S438/$P438,0)</f>
        <v>0</v>
      </c>
      <c r="U438" s="66"/>
      <c r="V438" s="67">
        <f>IFERROR(U438/$P438,0)</f>
        <v>0</v>
      </c>
      <c r="W438" s="66"/>
      <c r="X438" s="68">
        <f>IFERROR(W438/$P438,0)</f>
        <v>0</v>
      </c>
      <c r="Y438" s="66">
        <f>K438</f>
        <v>4800</v>
      </c>
      <c r="Z438" s="69">
        <f>Y438</f>
        <v>4800</v>
      </c>
    </row>
    <row r="440" spans="1:26" ht="13.9" customHeight="1" x14ac:dyDescent="0.25">
      <c r="D440" s="72" t="s">
        <v>235</v>
      </c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3"/>
      <c r="S440" s="72"/>
      <c r="T440" s="73"/>
      <c r="U440" s="72"/>
      <c r="V440" s="73"/>
      <c r="W440" s="72"/>
      <c r="X440" s="73"/>
      <c r="Y440" s="72"/>
      <c r="Z440" s="72"/>
    </row>
    <row r="441" spans="1:26" ht="13.9" customHeight="1" x14ac:dyDescent="0.25">
      <c r="D441" s="21" t="s">
        <v>32</v>
      </c>
      <c r="E441" s="21" t="s">
        <v>33</v>
      </c>
      <c r="F441" s="21" t="s">
        <v>34</v>
      </c>
      <c r="G441" s="21" t="s">
        <v>1</v>
      </c>
      <c r="H441" s="21" t="s">
        <v>2</v>
      </c>
      <c r="I441" s="21" t="s">
        <v>3</v>
      </c>
      <c r="J441" s="21" t="s">
        <v>4</v>
      </c>
      <c r="K441" s="21" t="s">
        <v>5</v>
      </c>
      <c r="L441" s="21" t="s">
        <v>6</v>
      </c>
      <c r="M441" s="21" t="s">
        <v>7</v>
      </c>
      <c r="N441" s="21" t="s">
        <v>8</v>
      </c>
      <c r="O441" s="21" t="s">
        <v>9</v>
      </c>
      <c r="P441" s="21" t="s">
        <v>10</v>
      </c>
      <c r="Q441" s="21" t="s">
        <v>11</v>
      </c>
      <c r="R441" s="22" t="s">
        <v>12</v>
      </c>
      <c r="S441" s="21" t="s">
        <v>13</v>
      </c>
      <c r="T441" s="22" t="s">
        <v>14</v>
      </c>
      <c r="U441" s="21" t="s">
        <v>15</v>
      </c>
      <c r="V441" s="22" t="s">
        <v>16</v>
      </c>
      <c r="W441" s="21" t="s">
        <v>17</v>
      </c>
      <c r="X441" s="22" t="s">
        <v>18</v>
      </c>
      <c r="Y441" s="21" t="s">
        <v>19</v>
      </c>
      <c r="Z441" s="21" t="s">
        <v>20</v>
      </c>
    </row>
    <row r="442" spans="1:26" ht="13.9" customHeight="1" x14ac:dyDescent="0.25">
      <c r="A442" s="15">
        <v>6</v>
      </c>
      <c r="B442" s="15">
        <v>3</v>
      </c>
      <c r="C442" s="15">
        <v>2</v>
      </c>
      <c r="D442" s="84" t="s">
        <v>233</v>
      </c>
      <c r="E442" s="24">
        <v>640</v>
      </c>
      <c r="F442" s="24" t="s">
        <v>130</v>
      </c>
      <c r="G442" s="25">
        <v>4400</v>
      </c>
      <c r="H442" s="25">
        <v>4850</v>
      </c>
      <c r="I442" s="25">
        <f>SUM(I446:I449)</f>
        <v>5850</v>
      </c>
      <c r="J442" s="25">
        <f>SUM(J446:J449)</f>
        <v>5650</v>
      </c>
      <c r="K442" s="25">
        <f>SUM(K446:K449)</f>
        <v>4150</v>
      </c>
      <c r="L442" s="25"/>
      <c r="M442" s="25"/>
      <c r="N442" s="25"/>
      <c r="O442" s="25"/>
      <c r="P442" s="25">
        <f>K442+SUM(L442:O442)</f>
        <v>4150</v>
      </c>
      <c r="Q442" s="25">
        <v>3550</v>
      </c>
      <c r="R442" s="26">
        <f>IFERROR(Q442/$P442,0)</f>
        <v>0.85542168674698793</v>
      </c>
      <c r="S442" s="25"/>
      <c r="T442" s="26">
        <f>IFERROR(S442/$P442,0)</f>
        <v>0</v>
      </c>
      <c r="U442" s="25"/>
      <c r="V442" s="26">
        <f>IFERROR(U442/$P442,0)</f>
        <v>0</v>
      </c>
      <c r="W442" s="25"/>
      <c r="X442" s="26">
        <f>IFERROR(W442/$P442,0)</f>
        <v>0</v>
      </c>
      <c r="Y442" s="25">
        <f>SUM(Y446:Y449)</f>
        <v>4150</v>
      </c>
      <c r="Z442" s="25">
        <f>SUM(Z446:Z449)</f>
        <v>4150</v>
      </c>
    </row>
    <row r="443" spans="1:26" ht="13.9" customHeight="1" x14ac:dyDescent="0.25">
      <c r="A443" s="15">
        <v>6</v>
      </c>
      <c r="B443" s="15">
        <v>3</v>
      </c>
      <c r="C443" s="15">
        <v>2</v>
      </c>
      <c r="D443" s="79" t="s">
        <v>21</v>
      </c>
      <c r="E443" s="47">
        <v>41</v>
      </c>
      <c r="F443" s="47" t="s">
        <v>23</v>
      </c>
      <c r="G443" s="48">
        <f t="shared" ref="G443:Q443" si="225">SUM(G442)</f>
        <v>4400</v>
      </c>
      <c r="H443" s="48">
        <f t="shared" si="225"/>
        <v>4850</v>
      </c>
      <c r="I443" s="48">
        <f t="shared" si="225"/>
        <v>5850</v>
      </c>
      <c r="J443" s="48">
        <f t="shared" si="225"/>
        <v>5650</v>
      </c>
      <c r="K443" s="48">
        <f t="shared" si="225"/>
        <v>4150</v>
      </c>
      <c r="L443" s="48">
        <f t="shared" si="225"/>
        <v>0</v>
      </c>
      <c r="M443" s="48">
        <f t="shared" si="225"/>
        <v>0</v>
      </c>
      <c r="N443" s="48">
        <f t="shared" si="225"/>
        <v>0</v>
      </c>
      <c r="O443" s="48">
        <f t="shared" si="225"/>
        <v>0</v>
      </c>
      <c r="P443" s="48">
        <f t="shared" si="225"/>
        <v>4150</v>
      </c>
      <c r="Q443" s="48">
        <f t="shared" si="225"/>
        <v>3550</v>
      </c>
      <c r="R443" s="49">
        <f>IFERROR(Q443/$P443,0)</f>
        <v>0.85542168674698793</v>
      </c>
      <c r="S443" s="48">
        <f>SUM(S442)</f>
        <v>0</v>
      </c>
      <c r="T443" s="49">
        <f>IFERROR(S443/$P443,0)</f>
        <v>0</v>
      </c>
      <c r="U443" s="48">
        <f>SUM(U442)</f>
        <v>0</v>
      </c>
      <c r="V443" s="49">
        <f>IFERROR(U443/$P443,0)</f>
        <v>0</v>
      </c>
      <c r="W443" s="48">
        <f>SUM(W442)</f>
        <v>0</v>
      </c>
      <c r="X443" s="49">
        <f>IFERROR(W443/$P443,0)</f>
        <v>0</v>
      </c>
      <c r="Y443" s="48">
        <f>SUM(Y442)</f>
        <v>4150</v>
      </c>
      <c r="Z443" s="48">
        <f>SUM(Z442)</f>
        <v>4150</v>
      </c>
    </row>
    <row r="444" spans="1:26" ht="13.9" customHeight="1" x14ac:dyDescent="0.25">
      <c r="A444" s="15">
        <v>6</v>
      </c>
      <c r="B444" s="15">
        <v>3</v>
      </c>
      <c r="C444" s="15">
        <v>2</v>
      </c>
      <c r="D444" s="86"/>
      <c r="E444" s="87"/>
      <c r="F444" s="27" t="s">
        <v>122</v>
      </c>
      <c r="G444" s="28">
        <f t="shared" ref="G444:Q444" si="226">G443</f>
        <v>4400</v>
      </c>
      <c r="H444" s="28">
        <f t="shared" si="226"/>
        <v>4850</v>
      </c>
      <c r="I444" s="28">
        <f t="shared" si="226"/>
        <v>5850</v>
      </c>
      <c r="J444" s="28">
        <f t="shared" si="226"/>
        <v>5650</v>
      </c>
      <c r="K444" s="28">
        <f t="shared" si="226"/>
        <v>4150</v>
      </c>
      <c r="L444" s="28">
        <f t="shared" si="226"/>
        <v>0</v>
      </c>
      <c r="M444" s="28">
        <f t="shared" si="226"/>
        <v>0</v>
      </c>
      <c r="N444" s="28">
        <f t="shared" si="226"/>
        <v>0</v>
      </c>
      <c r="O444" s="28">
        <f t="shared" si="226"/>
        <v>0</v>
      </c>
      <c r="P444" s="28">
        <f t="shared" si="226"/>
        <v>4150</v>
      </c>
      <c r="Q444" s="28">
        <f t="shared" si="226"/>
        <v>3550</v>
      </c>
      <c r="R444" s="29">
        <f>IFERROR(Q444/$P444,0)</f>
        <v>0.85542168674698793</v>
      </c>
      <c r="S444" s="28">
        <f>S443</f>
        <v>0</v>
      </c>
      <c r="T444" s="29">
        <f>IFERROR(S444/$P444,0)</f>
        <v>0</v>
      </c>
      <c r="U444" s="28">
        <f>U443</f>
        <v>0</v>
      </c>
      <c r="V444" s="29">
        <f>IFERROR(U444/$P444,0)</f>
        <v>0</v>
      </c>
      <c r="W444" s="28">
        <f>W443</f>
        <v>0</v>
      </c>
      <c r="X444" s="29">
        <f>IFERROR(W444/$P444,0)</f>
        <v>0</v>
      </c>
      <c r="Y444" s="28">
        <f>Y443</f>
        <v>4150</v>
      </c>
      <c r="Z444" s="28">
        <f>Z443</f>
        <v>4150</v>
      </c>
    </row>
    <row r="446" spans="1:26" ht="13.9" customHeight="1" x14ac:dyDescent="0.25">
      <c r="E446" s="51" t="s">
        <v>55</v>
      </c>
      <c r="F446" s="30" t="s">
        <v>236</v>
      </c>
      <c r="G446" s="52">
        <v>1200</v>
      </c>
      <c r="H446" s="52">
        <v>1200</v>
      </c>
      <c r="I446" s="52">
        <v>1700</v>
      </c>
      <c r="J446" s="52">
        <v>1500</v>
      </c>
      <c r="K446" s="102">
        <v>1900</v>
      </c>
      <c r="L446" s="52"/>
      <c r="M446" s="52"/>
      <c r="N446" s="52"/>
      <c r="O446" s="52"/>
      <c r="P446" s="52">
        <f>K446+SUM(L446:O446)</f>
        <v>1900</v>
      </c>
      <c r="Q446" s="52">
        <v>1600</v>
      </c>
      <c r="R446" s="53">
        <f>IFERROR(Q446/$P446,0)</f>
        <v>0.84210526315789469</v>
      </c>
      <c r="S446" s="52"/>
      <c r="T446" s="53">
        <f>IFERROR(S446/$P446,0)</f>
        <v>0</v>
      </c>
      <c r="U446" s="52"/>
      <c r="V446" s="53">
        <f>IFERROR(U446/$P446,0)</f>
        <v>0</v>
      </c>
      <c r="W446" s="52"/>
      <c r="X446" s="54">
        <f>IFERROR(W446/$P446,0)</f>
        <v>0</v>
      </c>
      <c r="Y446" s="52">
        <f>K446</f>
        <v>1900</v>
      </c>
      <c r="Z446" s="55">
        <f>Y446</f>
        <v>1900</v>
      </c>
    </row>
    <row r="447" spans="1:26" ht="13.9" hidden="1" customHeight="1" x14ac:dyDescent="0.25">
      <c r="E447" s="56"/>
      <c r="F447" s="57" t="s">
        <v>220</v>
      </c>
      <c r="G447" s="58">
        <v>2000</v>
      </c>
      <c r="H447" s="58">
        <v>2000</v>
      </c>
      <c r="I447" s="58">
        <v>2000</v>
      </c>
      <c r="J447" s="58">
        <v>2000</v>
      </c>
      <c r="K447" s="61">
        <v>0</v>
      </c>
      <c r="L447" s="58"/>
      <c r="M447" s="58"/>
      <c r="N447" s="58"/>
      <c r="O447" s="58"/>
      <c r="P447" s="58">
        <f>K447+SUM(L447:O447)</f>
        <v>0</v>
      </c>
      <c r="Q447" s="58"/>
      <c r="R447" s="16">
        <f>IFERROR(Q447/$P447,0)</f>
        <v>0</v>
      </c>
      <c r="S447" s="58"/>
      <c r="T447" s="16">
        <f>IFERROR(S447/$P447,0)</f>
        <v>0</v>
      </c>
      <c r="U447" s="58"/>
      <c r="V447" s="16">
        <f>IFERROR(U447/$P447,0)</f>
        <v>0</v>
      </c>
      <c r="W447" s="58"/>
      <c r="X447" s="59">
        <f>IFERROR(W447/$P447,0)</f>
        <v>0</v>
      </c>
      <c r="Y447" s="58">
        <f>K447</f>
        <v>0</v>
      </c>
      <c r="Z447" s="60">
        <f>Y447</f>
        <v>0</v>
      </c>
    </row>
    <row r="448" spans="1:26" ht="13.9" customHeight="1" x14ac:dyDescent="0.25">
      <c r="E448" s="56"/>
      <c r="F448" s="142" t="s">
        <v>237</v>
      </c>
      <c r="G448" s="95">
        <v>1200</v>
      </c>
      <c r="H448" s="95">
        <v>1500</v>
      </c>
      <c r="I448" s="95">
        <v>2000</v>
      </c>
      <c r="J448" s="95">
        <v>2000</v>
      </c>
      <c r="K448" s="93">
        <v>2100</v>
      </c>
      <c r="L448" s="95"/>
      <c r="M448" s="95"/>
      <c r="N448" s="95"/>
      <c r="O448" s="95"/>
      <c r="P448" s="95">
        <f>K448+SUM(L448:O448)</f>
        <v>2100</v>
      </c>
      <c r="Q448" s="95">
        <v>1800</v>
      </c>
      <c r="R448" s="96">
        <f>IFERROR(Q448/$P448,0)</f>
        <v>0.8571428571428571</v>
      </c>
      <c r="S448" s="95"/>
      <c r="T448" s="96">
        <f>IFERROR(S448/$P448,0)</f>
        <v>0</v>
      </c>
      <c r="U448" s="95"/>
      <c r="V448" s="96">
        <f>IFERROR(U448/$P448,0)</f>
        <v>0</v>
      </c>
      <c r="W448" s="95"/>
      <c r="X448" s="59">
        <f>IFERROR(W448/$P448,0)</f>
        <v>0</v>
      </c>
      <c r="Y448" s="95">
        <f>K448</f>
        <v>2100</v>
      </c>
      <c r="Z448" s="60">
        <f>Y448</f>
        <v>2100</v>
      </c>
    </row>
    <row r="449" spans="1:26" ht="13.9" customHeight="1" x14ac:dyDescent="0.25">
      <c r="E449" s="64"/>
      <c r="F449" s="65" t="s">
        <v>238</v>
      </c>
      <c r="G449" s="66"/>
      <c r="H449" s="66">
        <v>150</v>
      </c>
      <c r="I449" s="98">
        <v>150</v>
      </c>
      <c r="J449" s="66">
        <v>150</v>
      </c>
      <c r="K449" s="98">
        <v>150</v>
      </c>
      <c r="L449" s="66"/>
      <c r="M449" s="66"/>
      <c r="N449" s="66"/>
      <c r="O449" s="66"/>
      <c r="P449" s="66">
        <f>K449+SUM(L449:O449)</f>
        <v>150</v>
      </c>
      <c r="Q449" s="66">
        <v>150</v>
      </c>
      <c r="R449" s="67">
        <f>IFERROR(Q449/$P449,0)</f>
        <v>1</v>
      </c>
      <c r="S449" s="66"/>
      <c r="T449" s="67">
        <f>IFERROR(S449/$P449,0)</f>
        <v>0</v>
      </c>
      <c r="U449" s="66"/>
      <c r="V449" s="67">
        <f>IFERROR(U449/$P449,0)</f>
        <v>0</v>
      </c>
      <c r="W449" s="66"/>
      <c r="X449" s="68">
        <f>IFERROR(W449/$P449,0)</f>
        <v>0</v>
      </c>
      <c r="Y449" s="66">
        <f>K449</f>
        <v>150</v>
      </c>
      <c r="Z449" s="69">
        <f>Y449</f>
        <v>150</v>
      </c>
    </row>
    <row r="451" spans="1:26" ht="13.9" customHeight="1" x14ac:dyDescent="0.25">
      <c r="D451" s="32" t="s">
        <v>239</v>
      </c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3"/>
      <c r="S451" s="32"/>
      <c r="T451" s="33"/>
      <c r="U451" s="32"/>
      <c r="V451" s="33"/>
      <c r="W451" s="32"/>
      <c r="X451" s="33"/>
      <c r="Y451" s="32"/>
      <c r="Z451" s="32"/>
    </row>
    <row r="452" spans="1:26" ht="13.9" customHeight="1" x14ac:dyDescent="0.25">
      <c r="D452" s="20"/>
      <c r="E452" s="20"/>
      <c r="F452" s="20"/>
      <c r="G452" s="21" t="s">
        <v>1</v>
      </c>
      <c r="H452" s="21" t="s">
        <v>2</v>
      </c>
      <c r="I452" s="21" t="s">
        <v>3</v>
      </c>
      <c r="J452" s="21" t="s">
        <v>4</v>
      </c>
      <c r="K452" s="21" t="s">
        <v>5</v>
      </c>
      <c r="L452" s="21" t="s">
        <v>6</v>
      </c>
      <c r="M452" s="21" t="s">
        <v>7</v>
      </c>
      <c r="N452" s="21" t="s">
        <v>8</v>
      </c>
      <c r="O452" s="21" t="s">
        <v>9</v>
      </c>
      <c r="P452" s="21" t="s">
        <v>10</v>
      </c>
      <c r="Q452" s="21" t="s">
        <v>11</v>
      </c>
      <c r="R452" s="22" t="s">
        <v>12</v>
      </c>
      <c r="S452" s="21" t="s">
        <v>13</v>
      </c>
      <c r="T452" s="22" t="s">
        <v>14</v>
      </c>
      <c r="U452" s="21" t="s">
        <v>15</v>
      </c>
      <c r="V452" s="22" t="s">
        <v>16</v>
      </c>
      <c r="W452" s="21" t="s">
        <v>17</v>
      </c>
      <c r="X452" s="22" t="s">
        <v>18</v>
      </c>
      <c r="Y452" s="21" t="s">
        <v>19</v>
      </c>
      <c r="Z452" s="21" t="s">
        <v>20</v>
      </c>
    </row>
    <row r="453" spans="1:26" ht="13.9" customHeight="1" x14ac:dyDescent="0.25">
      <c r="A453" s="15">
        <v>7</v>
      </c>
      <c r="D453" s="12" t="s">
        <v>21</v>
      </c>
      <c r="E453" s="35">
        <v>111</v>
      </c>
      <c r="F453" s="35" t="s">
        <v>45</v>
      </c>
      <c r="G453" s="36">
        <f t="shared" ref="G453:Q453" si="227">G460+G508</f>
        <v>119480.9</v>
      </c>
      <c r="H453" s="36">
        <f t="shared" si="227"/>
        <v>125393.25</v>
      </c>
      <c r="I453" s="36">
        <f t="shared" si="227"/>
        <v>76134</v>
      </c>
      <c r="J453" s="36">
        <f t="shared" si="227"/>
        <v>103019</v>
      </c>
      <c r="K453" s="36">
        <f t="shared" si="227"/>
        <v>109896</v>
      </c>
      <c r="L453" s="36">
        <f t="shared" si="227"/>
        <v>11873</v>
      </c>
      <c r="M453" s="36">
        <f t="shared" si="227"/>
        <v>0</v>
      </c>
      <c r="N453" s="36">
        <f t="shared" si="227"/>
        <v>0</v>
      </c>
      <c r="O453" s="36">
        <f t="shared" si="227"/>
        <v>0</v>
      </c>
      <c r="P453" s="36">
        <f t="shared" si="227"/>
        <v>121769</v>
      </c>
      <c r="Q453" s="36">
        <f t="shared" si="227"/>
        <v>28449.79</v>
      </c>
      <c r="R453" s="37">
        <f>IFERROR(Q453/$P453,0)</f>
        <v>0.23363737897165945</v>
      </c>
      <c r="S453" s="36">
        <f>S460+S508</f>
        <v>0</v>
      </c>
      <c r="T453" s="37">
        <f>IFERROR(S453/$P453,0)</f>
        <v>0</v>
      </c>
      <c r="U453" s="36">
        <f>U460+U508</f>
        <v>0</v>
      </c>
      <c r="V453" s="37">
        <f>IFERROR(U453/$P453,0)</f>
        <v>0</v>
      </c>
      <c r="W453" s="36">
        <f>W460+W508</f>
        <v>0</v>
      </c>
      <c r="X453" s="37">
        <f>IFERROR(W453/$P453,0)</f>
        <v>0</v>
      </c>
      <c r="Y453" s="36">
        <f>Y460+Y508</f>
        <v>109896</v>
      </c>
      <c r="Z453" s="36">
        <f>Z460+Z508</f>
        <v>109896</v>
      </c>
    </row>
    <row r="454" spans="1:26" ht="13.9" customHeight="1" x14ac:dyDescent="0.25">
      <c r="A454" s="15">
        <v>7</v>
      </c>
      <c r="D454" s="12"/>
      <c r="E454" s="35">
        <v>41</v>
      </c>
      <c r="F454" s="35" t="s">
        <v>23</v>
      </c>
      <c r="G454" s="36">
        <f t="shared" ref="G454:Q454" si="228">G461+G510</f>
        <v>116506.71</v>
      </c>
      <c r="H454" s="36">
        <f t="shared" si="228"/>
        <v>112564.47000000002</v>
      </c>
      <c r="I454" s="36">
        <f t="shared" si="228"/>
        <v>126124</v>
      </c>
      <c r="J454" s="36">
        <f t="shared" si="228"/>
        <v>105032</v>
      </c>
      <c r="K454" s="36">
        <f t="shared" si="228"/>
        <v>128109</v>
      </c>
      <c r="L454" s="36">
        <f t="shared" si="228"/>
        <v>0</v>
      </c>
      <c r="M454" s="36">
        <f t="shared" si="228"/>
        <v>0</v>
      </c>
      <c r="N454" s="36">
        <f t="shared" si="228"/>
        <v>0</v>
      </c>
      <c r="O454" s="36">
        <f t="shared" si="228"/>
        <v>0</v>
      </c>
      <c r="P454" s="36">
        <f t="shared" si="228"/>
        <v>128109</v>
      </c>
      <c r="Q454" s="36">
        <f t="shared" si="228"/>
        <v>25444</v>
      </c>
      <c r="R454" s="37">
        <f>IFERROR(Q454/$P454,0)</f>
        <v>0.19861211936710146</v>
      </c>
      <c r="S454" s="36">
        <f>S461+S510</f>
        <v>0</v>
      </c>
      <c r="T454" s="37">
        <f>IFERROR(S454/$P454,0)</f>
        <v>0</v>
      </c>
      <c r="U454" s="36">
        <f>U461+U510</f>
        <v>0</v>
      </c>
      <c r="V454" s="37">
        <f>IFERROR(U454/$P454,0)</f>
        <v>0</v>
      </c>
      <c r="W454" s="36">
        <f>W461+W510</f>
        <v>0</v>
      </c>
      <c r="X454" s="37">
        <f>IFERROR(W454/$P454,0)</f>
        <v>0</v>
      </c>
      <c r="Y454" s="36">
        <f>Y461+Y510</f>
        <v>131818</v>
      </c>
      <c r="Z454" s="36">
        <f>Z461+Z510</f>
        <v>136337</v>
      </c>
    </row>
    <row r="455" spans="1:26" ht="13.9" customHeight="1" x14ac:dyDescent="0.25">
      <c r="A455" s="15">
        <v>7</v>
      </c>
      <c r="D455" s="12"/>
      <c r="E455" s="35">
        <v>72</v>
      </c>
      <c r="F455" s="35" t="s">
        <v>25</v>
      </c>
      <c r="G455" s="36">
        <f t="shared" ref="G455:Q455" si="229">G462</f>
        <v>1166.6600000000001</v>
      </c>
      <c r="H455" s="36">
        <f t="shared" si="229"/>
        <v>953.15</v>
      </c>
      <c r="I455" s="36">
        <f t="shared" si="229"/>
        <v>1359</v>
      </c>
      <c r="J455" s="36">
        <f t="shared" si="229"/>
        <v>1481</v>
      </c>
      <c r="K455" s="36">
        <f t="shared" si="229"/>
        <v>1374</v>
      </c>
      <c r="L455" s="36">
        <f t="shared" si="229"/>
        <v>0</v>
      </c>
      <c r="M455" s="36">
        <f t="shared" si="229"/>
        <v>0</v>
      </c>
      <c r="N455" s="36">
        <f t="shared" si="229"/>
        <v>0</v>
      </c>
      <c r="O455" s="36">
        <f t="shared" si="229"/>
        <v>0</v>
      </c>
      <c r="P455" s="36">
        <f t="shared" si="229"/>
        <v>1374</v>
      </c>
      <c r="Q455" s="36">
        <f t="shared" si="229"/>
        <v>0</v>
      </c>
      <c r="R455" s="37">
        <f>IFERROR(Q455/$P455,0)</f>
        <v>0</v>
      </c>
      <c r="S455" s="36">
        <f>S462</f>
        <v>0</v>
      </c>
      <c r="T455" s="37">
        <f>IFERROR(S455/$P455,0)</f>
        <v>0</v>
      </c>
      <c r="U455" s="36">
        <f>U462</f>
        <v>0</v>
      </c>
      <c r="V455" s="37">
        <f>IFERROR(U455/$P455,0)</f>
        <v>0</v>
      </c>
      <c r="W455" s="36">
        <f>W462</f>
        <v>0</v>
      </c>
      <c r="X455" s="37">
        <f>IFERROR(W455/$P455,0)</f>
        <v>0</v>
      </c>
      <c r="Y455" s="36">
        <f>Y462</f>
        <v>1374</v>
      </c>
      <c r="Z455" s="36">
        <f>Z462</f>
        <v>1374</v>
      </c>
    </row>
    <row r="456" spans="1:26" ht="13.9" customHeight="1" x14ac:dyDescent="0.25">
      <c r="A456" s="15">
        <v>7</v>
      </c>
      <c r="D456" s="30"/>
      <c r="E456" s="31"/>
      <c r="F456" s="38" t="s">
        <v>122</v>
      </c>
      <c r="G456" s="39">
        <f t="shared" ref="G456:Q456" si="230">SUM(G453:G455)</f>
        <v>237154.27</v>
      </c>
      <c r="H456" s="39">
        <f t="shared" si="230"/>
        <v>238910.87000000002</v>
      </c>
      <c r="I456" s="39">
        <f t="shared" si="230"/>
        <v>203617</v>
      </c>
      <c r="J456" s="39">
        <f t="shared" si="230"/>
        <v>209532</v>
      </c>
      <c r="K456" s="39">
        <f t="shared" si="230"/>
        <v>239379</v>
      </c>
      <c r="L456" s="39">
        <f t="shared" si="230"/>
        <v>11873</v>
      </c>
      <c r="M456" s="39">
        <f t="shared" si="230"/>
        <v>0</v>
      </c>
      <c r="N456" s="39">
        <f t="shared" si="230"/>
        <v>0</v>
      </c>
      <c r="O456" s="39">
        <f t="shared" si="230"/>
        <v>0</v>
      </c>
      <c r="P456" s="39">
        <f t="shared" si="230"/>
        <v>251252</v>
      </c>
      <c r="Q456" s="39">
        <f t="shared" si="230"/>
        <v>53893.79</v>
      </c>
      <c r="R456" s="40">
        <f>IFERROR(Q456/$P456,0)</f>
        <v>0.21450093929600561</v>
      </c>
      <c r="S456" s="39">
        <f>SUM(S453:S455)</f>
        <v>0</v>
      </c>
      <c r="T456" s="40">
        <f>IFERROR(S456/$P456,0)</f>
        <v>0</v>
      </c>
      <c r="U456" s="39">
        <f>SUM(U453:U455)</f>
        <v>0</v>
      </c>
      <c r="V456" s="40">
        <f>IFERROR(U456/$P456,0)</f>
        <v>0</v>
      </c>
      <c r="W456" s="39">
        <f>SUM(W453:W455)</f>
        <v>0</v>
      </c>
      <c r="X456" s="40">
        <f>IFERROR(W456/$P456,0)</f>
        <v>0</v>
      </c>
      <c r="Y456" s="39">
        <f>SUM(Y453:Y455)</f>
        <v>243088</v>
      </c>
      <c r="Z456" s="39">
        <f>SUM(Z453:Z455)</f>
        <v>247607</v>
      </c>
    </row>
    <row r="458" spans="1:26" ht="13.9" customHeight="1" x14ac:dyDescent="0.25">
      <c r="D458" s="41" t="s">
        <v>240</v>
      </c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2"/>
      <c r="S458" s="41"/>
      <c r="T458" s="42"/>
      <c r="U458" s="41"/>
      <c r="V458" s="42"/>
      <c r="W458" s="41"/>
      <c r="X458" s="42"/>
      <c r="Y458" s="41"/>
      <c r="Z458" s="41"/>
    </row>
    <row r="459" spans="1:26" ht="13.9" customHeight="1" x14ac:dyDescent="0.25">
      <c r="D459" s="127"/>
      <c r="E459" s="127"/>
      <c r="F459" s="127"/>
      <c r="G459" s="21" t="s">
        <v>1</v>
      </c>
      <c r="H459" s="21" t="s">
        <v>2</v>
      </c>
      <c r="I459" s="21" t="s">
        <v>3</v>
      </c>
      <c r="J459" s="21" t="s">
        <v>4</v>
      </c>
      <c r="K459" s="21" t="s">
        <v>5</v>
      </c>
      <c r="L459" s="21" t="s">
        <v>6</v>
      </c>
      <c r="M459" s="21" t="s">
        <v>7</v>
      </c>
      <c r="N459" s="21" t="s">
        <v>8</v>
      </c>
      <c r="O459" s="21" t="s">
        <v>9</v>
      </c>
      <c r="P459" s="21" t="s">
        <v>10</v>
      </c>
      <c r="Q459" s="21" t="s">
        <v>11</v>
      </c>
      <c r="R459" s="22" t="s">
        <v>12</v>
      </c>
      <c r="S459" s="21" t="s">
        <v>13</v>
      </c>
      <c r="T459" s="22" t="s">
        <v>14</v>
      </c>
      <c r="U459" s="21" t="s">
        <v>15</v>
      </c>
      <c r="V459" s="22" t="s">
        <v>16</v>
      </c>
      <c r="W459" s="21" t="s">
        <v>17</v>
      </c>
      <c r="X459" s="22" t="s">
        <v>18</v>
      </c>
      <c r="Y459" s="21" t="s">
        <v>19</v>
      </c>
      <c r="Z459" s="21" t="s">
        <v>20</v>
      </c>
    </row>
    <row r="460" spans="1:26" ht="13.9" customHeight="1" x14ac:dyDescent="0.25">
      <c r="A460" s="15">
        <v>7</v>
      </c>
      <c r="B460" s="15">
        <v>1</v>
      </c>
      <c r="D460" s="13" t="s">
        <v>21</v>
      </c>
      <c r="E460" s="24">
        <v>111</v>
      </c>
      <c r="F460" s="24" t="s">
        <v>45</v>
      </c>
      <c r="G460" s="25">
        <f t="shared" ref="G460:Q460" si="231">G470+G489</f>
        <v>62573.7</v>
      </c>
      <c r="H460" s="25">
        <f t="shared" si="231"/>
        <v>57174.35</v>
      </c>
      <c r="I460" s="25">
        <f t="shared" si="231"/>
        <v>72534</v>
      </c>
      <c r="J460" s="25">
        <f t="shared" si="231"/>
        <v>78113</v>
      </c>
      <c r="K460" s="25">
        <f t="shared" si="231"/>
        <v>105576</v>
      </c>
      <c r="L460" s="25">
        <f t="shared" si="231"/>
        <v>1838</v>
      </c>
      <c r="M460" s="25">
        <f t="shared" si="231"/>
        <v>0</v>
      </c>
      <c r="N460" s="25">
        <f t="shared" si="231"/>
        <v>0</v>
      </c>
      <c r="O460" s="25">
        <f t="shared" si="231"/>
        <v>0</v>
      </c>
      <c r="P460" s="25">
        <f t="shared" si="231"/>
        <v>107414</v>
      </c>
      <c r="Q460" s="25">
        <f t="shared" si="231"/>
        <v>18024.189999999999</v>
      </c>
      <c r="R460" s="26">
        <f>IFERROR(Q460/$P460,0)</f>
        <v>0.16780112462062671</v>
      </c>
      <c r="S460" s="25">
        <f>S470+S489</f>
        <v>0</v>
      </c>
      <c r="T460" s="26">
        <f>IFERROR(S460/$P460,0)</f>
        <v>0</v>
      </c>
      <c r="U460" s="25">
        <f>U470+U489</f>
        <v>0</v>
      </c>
      <c r="V460" s="26">
        <f>IFERROR(U460/$P460,0)</f>
        <v>0</v>
      </c>
      <c r="W460" s="25">
        <f>W470+W489</f>
        <v>0</v>
      </c>
      <c r="X460" s="26">
        <f>IFERROR(W460/$P460,0)</f>
        <v>0</v>
      </c>
      <c r="Y460" s="25">
        <f>Y470+Y489</f>
        <v>105576</v>
      </c>
      <c r="Z460" s="25">
        <f>Z470+Z489</f>
        <v>105576</v>
      </c>
    </row>
    <row r="461" spans="1:26" ht="13.9" customHeight="1" x14ac:dyDescent="0.25">
      <c r="A461" s="15">
        <v>7</v>
      </c>
      <c r="B461" s="15">
        <v>1</v>
      </c>
      <c r="D461" s="13"/>
      <c r="E461" s="24">
        <v>41</v>
      </c>
      <c r="F461" s="24" t="s">
        <v>23</v>
      </c>
      <c r="G461" s="25">
        <f t="shared" ref="G461:Q461" si="232">G475+G494</f>
        <v>114706.71</v>
      </c>
      <c r="H461" s="25">
        <f t="shared" si="232"/>
        <v>109264.47000000002</v>
      </c>
      <c r="I461" s="25">
        <f t="shared" si="232"/>
        <v>123124</v>
      </c>
      <c r="J461" s="25">
        <f t="shared" si="232"/>
        <v>103932</v>
      </c>
      <c r="K461" s="25">
        <f t="shared" si="232"/>
        <v>126609</v>
      </c>
      <c r="L461" s="25">
        <f t="shared" si="232"/>
        <v>0</v>
      </c>
      <c r="M461" s="25">
        <f t="shared" si="232"/>
        <v>0</v>
      </c>
      <c r="N461" s="25">
        <f t="shared" si="232"/>
        <v>0</v>
      </c>
      <c r="O461" s="25">
        <f t="shared" si="232"/>
        <v>0</v>
      </c>
      <c r="P461" s="25">
        <f t="shared" si="232"/>
        <v>126609</v>
      </c>
      <c r="Q461" s="25">
        <f t="shared" si="232"/>
        <v>24344</v>
      </c>
      <c r="R461" s="26">
        <f>IFERROR(Q461/$P461,0)</f>
        <v>0.19227701032312078</v>
      </c>
      <c r="S461" s="25">
        <f>S475+S494</f>
        <v>0</v>
      </c>
      <c r="T461" s="26">
        <f>IFERROR(S461/$P461,0)</f>
        <v>0</v>
      </c>
      <c r="U461" s="25">
        <f>U475+U494</f>
        <v>0</v>
      </c>
      <c r="V461" s="26">
        <f>IFERROR(U461/$P461,0)</f>
        <v>0</v>
      </c>
      <c r="W461" s="25">
        <f>W475+W494</f>
        <v>0</v>
      </c>
      <c r="X461" s="26">
        <f>IFERROR(W461/$P461,0)</f>
        <v>0</v>
      </c>
      <c r="Y461" s="25">
        <f>Y475+Y494</f>
        <v>130318</v>
      </c>
      <c r="Z461" s="25">
        <f>Z475+Z494</f>
        <v>134837</v>
      </c>
    </row>
    <row r="462" spans="1:26" ht="13.9" customHeight="1" x14ac:dyDescent="0.25">
      <c r="A462" s="15">
        <v>7</v>
      </c>
      <c r="B462" s="15">
        <v>1</v>
      </c>
      <c r="D462" s="13"/>
      <c r="E462" s="24">
        <v>72</v>
      </c>
      <c r="F462" s="24" t="s">
        <v>25</v>
      </c>
      <c r="G462" s="25">
        <f t="shared" ref="G462:Q462" si="233">G477+G496</f>
        <v>1166.6600000000001</v>
      </c>
      <c r="H462" s="25">
        <f t="shared" si="233"/>
        <v>953.15</v>
      </c>
      <c r="I462" s="25">
        <f t="shared" si="233"/>
        <v>1359</v>
      </c>
      <c r="J462" s="25">
        <f t="shared" si="233"/>
        <v>1481</v>
      </c>
      <c r="K462" s="25">
        <f t="shared" si="233"/>
        <v>1374</v>
      </c>
      <c r="L462" s="25">
        <f t="shared" si="233"/>
        <v>0</v>
      </c>
      <c r="M462" s="25">
        <f t="shared" si="233"/>
        <v>0</v>
      </c>
      <c r="N462" s="25">
        <f t="shared" si="233"/>
        <v>0</v>
      </c>
      <c r="O462" s="25">
        <f t="shared" si="233"/>
        <v>0</v>
      </c>
      <c r="P462" s="25">
        <f t="shared" si="233"/>
        <v>1374</v>
      </c>
      <c r="Q462" s="25">
        <f t="shared" si="233"/>
        <v>0</v>
      </c>
      <c r="R462" s="26">
        <f>IFERROR(Q462/$P462,0)</f>
        <v>0</v>
      </c>
      <c r="S462" s="25">
        <f>S477+S496</f>
        <v>0</v>
      </c>
      <c r="T462" s="26">
        <f>IFERROR(S462/$P462,0)</f>
        <v>0</v>
      </c>
      <c r="U462" s="25">
        <f>U477+U496</f>
        <v>0</v>
      </c>
      <c r="V462" s="26">
        <f>IFERROR(U462/$P462,0)</f>
        <v>0</v>
      </c>
      <c r="W462" s="25">
        <f>W477+W496</f>
        <v>0</v>
      </c>
      <c r="X462" s="26">
        <f>IFERROR(W462/$P462,0)</f>
        <v>0</v>
      </c>
      <c r="Y462" s="25">
        <f>Y477+Y496</f>
        <v>1374</v>
      </c>
      <c r="Z462" s="25">
        <f>Z477+Z496</f>
        <v>1374</v>
      </c>
    </row>
    <row r="463" spans="1:26" ht="13.9" customHeight="1" x14ac:dyDescent="0.25">
      <c r="A463" s="15">
        <v>7</v>
      </c>
      <c r="B463" s="15">
        <v>1</v>
      </c>
      <c r="D463" s="30"/>
      <c r="E463" s="31"/>
      <c r="F463" s="27" t="s">
        <v>122</v>
      </c>
      <c r="G463" s="28">
        <f t="shared" ref="G463:Q463" si="234">SUM(G460:G462)</f>
        <v>178447.07</v>
      </c>
      <c r="H463" s="28">
        <f t="shared" si="234"/>
        <v>167391.97</v>
      </c>
      <c r="I463" s="28">
        <f t="shared" si="234"/>
        <v>197017</v>
      </c>
      <c r="J463" s="28">
        <f t="shared" si="234"/>
        <v>183526</v>
      </c>
      <c r="K463" s="28">
        <f t="shared" si="234"/>
        <v>233559</v>
      </c>
      <c r="L463" s="28">
        <f t="shared" si="234"/>
        <v>1838</v>
      </c>
      <c r="M463" s="28">
        <f t="shared" si="234"/>
        <v>0</v>
      </c>
      <c r="N463" s="28">
        <f t="shared" si="234"/>
        <v>0</v>
      </c>
      <c r="O463" s="28">
        <f t="shared" si="234"/>
        <v>0</v>
      </c>
      <c r="P463" s="28">
        <f t="shared" si="234"/>
        <v>235397</v>
      </c>
      <c r="Q463" s="28">
        <f t="shared" si="234"/>
        <v>42368.19</v>
      </c>
      <c r="R463" s="29">
        <f>IFERROR(Q463/$P463,0)</f>
        <v>0.17998610857402603</v>
      </c>
      <c r="S463" s="28">
        <f>SUM(S460:S462)</f>
        <v>0</v>
      </c>
      <c r="T463" s="29">
        <f>IFERROR(S463/$P463,0)</f>
        <v>0</v>
      </c>
      <c r="U463" s="28">
        <f>SUM(U460:U462)</f>
        <v>0</v>
      </c>
      <c r="V463" s="29">
        <f>IFERROR(U463/$P463,0)</f>
        <v>0</v>
      </c>
      <c r="W463" s="28">
        <f>SUM(W460:W462)</f>
        <v>0</v>
      </c>
      <c r="X463" s="29">
        <f>IFERROR(W463/$P463,0)</f>
        <v>0</v>
      </c>
      <c r="Y463" s="28">
        <f>SUM(Y460:Y462)</f>
        <v>237268</v>
      </c>
      <c r="Z463" s="28">
        <f>SUM(Z460:Z462)</f>
        <v>241787</v>
      </c>
    </row>
    <row r="465" spans="1:26" ht="13.9" customHeight="1" x14ac:dyDescent="0.25">
      <c r="D465" s="72" t="s">
        <v>241</v>
      </c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3"/>
      <c r="S465" s="72"/>
      <c r="T465" s="73"/>
      <c r="U465" s="72"/>
      <c r="V465" s="73"/>
      <c r="W465" s="72"/>
      <c r="X465" s="73"/>
      <c r="Y465" s="72"/>
      <c r="Z465" s="72"/>
    </row>
    <row r="466" spans="1:26" ht="13.9" customHeight="1" x14ac:dyDescent="0.25">
      <c r="D466" s="21" t="s">
        <v>32</v>
      </c>
      <c r="E466" s="21" t="s">
        <v>33</v>
      </c>
      <c r="F466" s="21" t="s">
        <v>34</v>
      </c>
      <c r="G466" s="21" t="s">
        <v>1</v>
      </c>
      <c r="H466" s="21" t="s">
        <v>2</v>
      </c>
      <c r="I466" s="21" t="s">
        <v>3</v>
      </c>
      <c r="J466" s="21" t="s">
        <v>4</v>
      </c>
      <c r="K466" s="21" t="s">
        <v>5</v>
      </c>
      <c r="L466" s="21" t="s">
        <v>6</v>
      </c>
      <c r="M466" s="21" t="s">
        <v>7</v>
      </c>
      <c r="N466" s="21" t="s">
        <v>8</v>
      </c>
      <c r="O466" s="21" t="s">
        <v>9</v>
      </c>
      <c r="P466" s="21" t="s">
        <v>10</v>
      </c>
      <c r="Q466" s="21" t="s">
        <v>11</v>
      </c>
      <c r="R466" s="22" t="s">
        <v>12</v>
      </c>
      <c r="S466" s="21" t="s">
        <v>13</v>
      </c>
      <c r="T466" s="22" t="s">
        <v>14</v>
      </c>
      <c r="U466" s="21" t="s">
        <v>15</v>
      </c>
      <c r="V466" s="22" t="s">
        <v>16</v>
      </c>
      <c r="W466" s="21" t="s">
        <v>17</v>
      </c>
      <c r="X466" s="22" t="s">
        <v>18</v>
      </c>
      <c r="Y466" s="21" t="s">
        <v>19</v>
      </c>
      <c r="Z466" s="21" t="s">
        <v>20</v>
      </c>
    </row>
    <row r="467" spans="1:26" ht="13.9" customHeight="1" x14ac:dyDescent="0.25">
      <c r="A467" s="15">
        <v>7</v>
      </c>
      <c r="B467" s="15">
        <v>1</v>
      </c>
      <c r="C467" s="15">
        <v>1</v>
      </c>
      <c r="D467" s="10" t="s">
        <v>242</v>
      </c>
      <c r="E467" s="24">
        <v>610</v>
      </c>
      <c r="F467" s="24" t="s">
        <v>127</v>
      </c>
      <c r="G467" s="25">
        <v>30797.75</v>
      </c>
      <c r="H467" s="25">
        <v>37847.99</v>
      </c>
      <c r="I467" s="25">
        <v>47463</v>
      </c>
      <c r="J467" s="25">
        <v>51121</v>
      </c>
      <c r="K467" s="25">
        <v>42918</v>
      </c>
      <c r="L467" s="25"/>
      <c r="M467" s="25"/>
      <c r="N467" s="25"/>
      <c r="O467" s="25"/>
      <c r="P467" s="25">
        <f>K467+SUM(L467:O467)</f>
        <v>42918</v>
      </c>
      <c r="Q467" s="25">
        <v>11938.11</v>
      </c>
      <c r="R467" s="26">
        <f t="shared" ref="R467:R478" si="235">IFERROR(Q467/$P467,0)</f>
        <v>0.27816091150566197</v>
      </c>
      <c r="S467" s="25"/>
      <c r="T467" s="26">
        <f t="shared" ref="T467:T478" si="236">IFERROR(S467/$P467,0)</f>
        <v>0</v>
      </c>
      <c r="U467" s="25"/>
      <c r="V467" s="26">
        <f t="shared" ref="V467:V478" si="237">IFERROR(U467/$P467,0)</f>
        <v>0</v>
      </c>
      <c r="W467" s="25"/>
      <c r="X467" s="26">
        <f t="shared" ref="X467:X478" si="238">IFERROR(W467/$P467,0)</f>
        <v>0</v>
      </c>
      <c r="Y467" s="25">
        <f>K467</f>
        <v>42918</v>
      </c>
      <c r="Z467" s="25">
        <f>Y467</f>
        <v>42918</v>
      </c>
    </row>
    <row r="468" spans="1:26" ht="13.9" customHeight="1" x14ac:dyDescent="0.25">
      <c r="A468" s="15">
        <v>7</v>
      </c>
      <c r="B468" s="15">
        <v>1</v>
      </c>
      <c r="C468" s="15">
        <v>1</v>
      </c>
      <c r="D468" s="10"/>
      <c r="E468" s="24">
        <v>620</v>
      </c>
      <c r="F468" s="24" t="s">
        <v>128</v>
      </c>
      <c r="G468" s="25">
        <v>10857.64</v>
      </c>
      <c r="H468" s="25">
        <v>13684.87</v>
      </c>
      <c r="I468" s="25">
        <v>18180</v>
      </c>
      <c r="J468" s="25">
        <v>18458</v>
      </c>
      <c r="K468" s="25">
        <v>15430</v>
      </c>
      <c r="L468" s="25"/>
      <c r="M468" s="25"/>
      <c r="N468" s="25"/>
      <c r="O468" s="25"/>
      <c r="P468" s="25">
        <f>K468+SUM(L468:O468)</f>
        <v>15430</v>
      </c>
      <c r="Q468" s="25">
        <v>4247.6899999999996</v>
      </c>
      <c r="R468" s="26">
        <f t="shared" si="235"/>
        <v>0.27528775113415421</v>
      </c>
      <c r="S468" s="25"/>
      <c r="T468" s="26">
        <f t="shared" si="236"/>
        <v>0</v>
      </c>
      <c r="U468" s="25"/>
      <c r="V468" s="26">
        <f t="shared" si="237"/>
        <v>0</v>
      </c>
      <c r="W468" s="25"/>
      <c r="X468" s="26">
        <f t="shared" si="238"/>
        <v>0</v>
      </c>
      <c r="Y468" s="25">
        <f>K468</f>
        <v>15430</v>
      </c>
      <c r="Z468" s="25">
        <f>Y468</f>
        <v>15430</v>
      </c>
    </row>
    <row r="469" spans="1:26" ht="13.9" customHeight="1" x14ac:dyDescent="0.25">
      <c r="A469" s="15">
        <v>7</v>
      </c>
      <c r="B469" s="15">
        <v>1</v>
      </c>
      <c r="C469" s="15">
        <v>1</v>
      </c>
      <c r="D469" s="10"/>
      <c r="E469" s="24">
        <v>630</v>
      </c>
      <c r="F469" s="24" t="s">
        <v>129</v>
      </c>
      <c r="G469" s="25">
        <v>20918.310000000001</v>
      </c>
      <c r="H469" s="25">
        <v>5641.49</v>
      </c>
      <c r="I469" s="25">
        <v>6891</v>
      </c>
      <c r="J469" s="25">
        <v>7447</v>
      </c>
      <c r="K469" s="25">
        <v>14588</v>
      </c>
      <c r="L469" s="25">
        <v>1838</v>
      </c>
      <c r="M469" s="25"/>
      <c r="N469" s="25"/>
      <c r="O469" s="25"/>
      <c r="P469" s="25">
        <f>K469+SUM(L469:O469)</f>
        <v>16426</v>
      </c>
      <c r="Q469" s="25">
        <v>1838.39</v>
      </c>
      <c r="R469" s="26">
        <f t="shared" si="235"/>
        <v>0.11191951783757459</v>
      </c>
      <c r="S469" s="25"/>
      <c r="T469" s="26">
        <f t="shared" si="236"/>
        <v>0</v>
      </c>
      <c r="U469" s="25"/>
      <c r="V469" s="26">
        <f t="shared" si="237"/>
        <v>0</v>
      </c>
      <c r="W469" s="25"/>
      <c r="X469" s="26">
        <f t="shared" si="238"/>
        <v>0</v>
      </c>
      <c r="Y469" s="25">
        <f>K469</f>
        <v>14588</v>
      </c>
      <c r="Z469" s="25">
        <f>Y469</f>
        <v>14588</v>
      </c>
    </row>
    <row r="470" spans="1:26" ht="13.9" customHeight="1" x14ac:dyDescent="0.25">
      <c r="A470" s="15">
        <v>7</v>
      </c>
      <c r="B470" s="15">
        <v>1</v>
      </c>
      <c r="C470" s="15">
        <v>1</v>
      </c>
      <c r="D470" s="79" t="s">
        <v>21</v>
      </c>
      <c r="E470" s="47">
        <v>111</v>
      </c>
      <c r="F470" s="47" t="s">
        <v>132</v>
      </c>
      <c r="G470" s="99">
        <f t="shared" ref="G470:Q470" si="239">SUM(G467:G469)</f>
        <v>62573.7</v>
      </c>
      <c r="H470" s="99">
        <f t="shared" si="239"/>
        <v>57174.35</v>
      </c>
      <c r="I470" s="99">
        <f t="shared" si="239"/>
        <v>72534</v>
      </c>
      <c r="J470" s="99">
        <f t="shared" si="239"/>
        <v>77026</v>
      </c>
      <c r="K470" s="99">
        <f t="shared" si="239"/>
        <v>72936</v>
      </c>
      <c r="L470" s="99">
        <f t="shared" si="239"/>
        <v>1838</v>
      </c>
      <c r="M470" s="99">
        <f t="shared" si="239"/>
        <v>0</v>
      </c>
      <c r="N470" s="99">
        <f t="shared" si="239"/>
        <v>0</v>
      </c>
      <c r="O470" s="99">
        <f t="shared" si="239"/>
        <v>0</v>
      </c>
      <c r="P470" s="99">
        <f t="shared" si="239"/>
        <v>74774</v>
      </c>
      <c r="Q470" s="99">
        <f t="shared" si="239"/>
        <v>18024.189999999999</v>
      </c>
      <c r="R470" s="100">
        <f t="shared" si="235"/>
        <v>0.24104889400058843</v>
      </c>
      <c r="S470" s="99">
        <f>SUM(S467:S469)</f>
        <v>0</v>
      </c>
      <c r="T470" s="100">
        <f t="shared" si="236"/>
        <v>0</v>
      </c>
      <c r="U470" s="99">
        <f>SUM(U467:U469)</f>
        <v>0</v>
      </c>
      <c r="V470" s="100">
        <f t="shared" si="237"/>
        <v>0</v>
      </c>
      <c r="W470" s="99">
        <f>SUM(W467:W469)</f>
        <v>0</v>
      </c>
      <c r="X470" s="100">
        <f t="shared" si="238"/>
        <v>0</v>
      </c>
      <c r="Y470" s="99">
        <f>SUM(Y467:Y469)</f>
        <v>72936</v>
      </c>
      <c r="Z470" s="99">
        <f>SUM(Z467:Z469)</f>
        <v>72936</v>
      </c>
    </row>
    <row r="471" spans="1:26" ht="13.9" customHeight="1" x14ac:dyDescent="0.25">
      <c r="A471" s="15">
        <v>7</v>
      </c>
      <c r="B471" s="15">
        <v>1</v>
      </c>
      <c r="C471" s="15">
        <v>1</v>
      </c>
      <c r="D471" s="3" t="s">
        <v>242</v>
      </c>
      <c r="E471" s="24">
        <v>610</v>
      </c>
      <c r="F471" s="24" t="s">
        <v>127</v>
      </c>
      <c r="G471" s="25">
        <v>48593</v>
      </c>
      <c r="H471" s="25">
        <v>47207.44</v>
      </c>
      <c r="I471" s="25">
        <v>39226</v>
      </c>
      <c r="J471" s="25">
        <v>30228</v>
      </c>
      <c r="K471" s="25">
        <v>39188</v>
      </c>
      <c r="L471" s="25"/>
      <c r="M471" s="25"/>
      <c r="N471" s="25"/>
      <c r="O471" s="25"/>
      <c r="P471" s="25">
        <f>K471+SUM(L471:O471)</f>
        <v>39188</v>
      </c>
      <c r="Q471" s="25">
        <v>7059.77</v>
      </c>
      <c r="R471" s="26">
        <f t="shared" si="235"/>
        <v>0.18015132183321425</v>
      </c>
      <c r="S471" s="25"/>
      <c r="T471" s="26">
        <f t="shared" si="236"/>
        <v>0</v>
      </c>
      <c r="U471" s="25"/>
      <c r="V471" s="26">
        <f t="shared" si="237"/>
        <v>0</v>
      </c>
      <c r="W471" s="25"/>
      <c r="X471" s="26">
        <f t="shared" si="238"/>
        <v>0</v>
      </c>
      <c r="Y471" s="25">
        <v>41040</v>
      </c>
      <c r="Z471" s="25">
        <v>42985</v>
      </c>
    </row>
    <row r="472" spans="1:26" ht="13.9" customHeight="1" x14ac:dyDescent="0.25">
      <c r="A472" s="15">
        <v>7</v>
      </c>
      <c r="B472" s="15">
        <v>1</v>
      </c>
      <c r="C472" s="15">
        <v>1</v>
      </c>
      <c r="D472" s="3"/>
      <c r="E472" s="24">
        <v>620</v>
      </c>
      <c r="F472" s="24" t="s">
        <v>128</v>
      </c>
      <c r="G472" s="25">
        <v>18282.89</v>
      </c>
      <c r="H472" s="25">
        <v>18634.240000000002</v>
      </c>
      <c r="I472" s="25">
        <v>15914</v>
      </c>
      <c r="J472" s="25">
        <v>12143</v>
      </c>
      <c r="K472" s="25">
        <v>15730</v>
      </c>
      <c r="L472" s="25"/>
      <c r="M472" s="25"/>
      <c r="N472" s="25"/>
      <c r="O472" s="25"/>
      <c r="P472" s="25">
        <f>K472+SUM(L472:O472)</f>
        <v>15730</v>
      </c>
      <c r="Q472" s="25">
        <v>2902.74</v>
      </c>
      <c r="R472" s="26">
        <f t="shared" si="235"/>
        <v>0.18453528289891924</v>
      </c>
      <c r="S472" s="25"/>
      <c r="T472" s="26">
        <f t="shared" si="236"/>
        <v>0</v>
      </c>
      <c r="U472" s="25"/>
      <c r="V472" s="26">
        <f t="shared" si="237"/>
        <v>0</v>
      </c>
      <c r="W472" s="25"/>
      <c r="X472" s="26">
        <f t="shared" si="238"/>
        <v>0</v>
      </c>
      <c r="Y472" s="25">
        <v>16432</v>
      </c>
      <c r="Z472" s="25">
        <v>17172</v>
      </c>
    </row>
    <row r="473" spans="1:26" ht="13.9" customHeight="1" x14ac:dyDescent="0.25">
      <c r="A473" s="15">
        <v>7</v>
      </c>
      <c r="B473" s="15">
        <v>1</v>
      </c>
      <c r="C473" s="15">
        <v>1</v>
      </c>
      <c r="D473" s="3"/>
      <c r="E473" s="24">
        <v>630</v>
      </c>
      <c r="F473" s="24" t="s">
        <v>129</v>
      </c>
      <c r="G473" s="25">
        <v>44699.11</v>
      </c>
      <c r="H473" s="25">
        <v>40321.19</v>
      </c>
      <c r="I473" s="25">
        <v>40208</v>
      </c>
      <c r="J473" s="25">
        <v>38098</v>
      </c>
      <c r="K473" s="25">
        <f>9582+28416</f>
        <v>37998</v>
      </c>
      <c r="L473" s="25"/>
      <c r="M473" s="25"/>
      <c r="N473" s="25"/>
      <c r="O473" s="25"/>
      <c r="P473" s="25">
        <f>K473+SUM(L473:O473)</f>
        <v>37998</v>
      </c>
      <c r="Q473" s="25">
        <v>9534.27</v>
      </c>
      <c r="R473" s="26">
        <f t="shared" si="235"/>
        <v>0.25091504816042953</v>
      </c>
      <c r="S473" s="25"/>
      <c r="T473" s="26">
        <f t="shared" si="236"/>
        <v>0</v>
      </c>
      <c r="U473" s="25"/>
      <c r="V473" s="26">
        <f t="shared" si="237"/>
        <v>0</v>
      </c>
      <c r="W473" s="25"/>
      <c r="X473" s="26">
        <f t="shared" si="238"/>
        <v>0</v>
      </c>
      <c r="Y473" s="25">
        <f>10083+28416</f>
        <v>38499</v>
      </c>
      <c r="Z473" s="25">
        <f>11268+28416</f>
        <v>39684</v>
      </c>
    </row>
    <row r="474" spans="1:26" ht="13.9" hidden="1" customHeight="1" x14ac:dyDescent="0.25">
      <c r="A474" s="15">
        <v>7</v>
      </c>
      <c r="B474" s="15">
        <v>1</v>
      </c>
      <c r="C474" s="15">
        <v>1</v>
      </c>
      <c r="D474" s="3"/>
      <c r="E474" s="24">
        <v>640</v>
      </c>
      <c r="F474" s="24" t="s">
        <v>130</v>
      </c>
      <c r="G474" s="25">
        <v>227.66</v>
      </c>
      <c r="H474" s="25">
        <v>365</v>
      </c>
      <c r="I474" s="25">
        <v>0</v>
      </c>
      <c r="J474" s="25">
        <v>332</v>
      </c>
      <c r="K474" s="25">
        <v>0</v>
      </c>
      <c r="L474" s="25"/>
      <c r="M474" s="25"/>
      <c r="N474" s="25"/>
      <c r="O474" s="25"/>
      <c r="P474" s="25">
        <f>K474+SUM(L474:O474)</f>
        <v>0</v>
      </c>
      <c r="Q474" s="25"/>
      <c r="R474" s="26">
        <f t="shared" si="235"/>
        <v>0</v>
      </c>
      <c r="S474" s="25"/>
      <c r="T474" s="26">
        <f t="shared" si="236"/>
        <v>0</v>
      </c>
      <c r="U474" s="25"/>
      <c r="V474" s="26">
        <f t="shared" si="237"/>
        <v>0</v>
      </c>
      <c r="W474" s="25"/>
      <c r="X474" s="26">
        <f t="shared" si="238"/>
        <v>0</v>
      </c>
      <c r="Y474" s="25">
        <v>0</v>
      </c>
      <c r="Z474" s="25">
        <v>0</v>
      </c>
    </row>
    <row r="475" spans="1:26" ht="13.9" customHeight="1" x14ac:dyDescent="0.25">
      <c r="A475" s="15">
        <v>7</v>
      </c>
      <c r="B475" s="15">
        <v>1</v>
      </c>
      <c r="C475" s="15">
        <v>1</v>
      </c>
      <c r="D475" s="79" t="s">
        <v>21</v>
      </c>
      <c r="E475" s="47">
        <v>41</v>
      </c>
      <c r="F475" s="47" t="s">
        <v>23</v>
      </c>
      <c r="G475" s="48">
        <f t="shared" ref="G475:Q475" si="240">SUM(G471:G474)</f>
        <v>111802.66</v>
      </c>
      <c r="H475" s="48">
        <f t="shared" si="240"/>
        <v>106527.87000000001</v>
      </c>
      <c r="I475" s="48">
        <f t="shared" si="240"/>
        <v>95348</v>
      </c>
      <c r="J475" s="48">
        <f t="shared" si="240"/>
        <v>80801</v>
      </c>
      <c r="K475" s="48">
        <f t="shared" si="240"/>
        <v>92916</v>
      </c>
      <c r="L475" s="48">
        <f t="shared" si="240"/>
        <v>0</v>
      </c>
      <c r="M475" s="48">
        <f t="shared" si="240"/>
        <v>0</v>
      </c>
      <c r="N475" s="48">
        <f t="shared" si="240"/>
        <v>0</v>
      </c>
      <c r="O475" s="48">
        <f t="shared" si="240"/>
        <v>0</v>
      </c>
      <c r="P475" s="48">
        <f t="shared" si="240"/>
        <v>92916</v>
      </c>
      <c r="Q475" s="48">
        <f t="shared" si="240"/>
        <v>19496.78</v>
      </c>
      <c r="R475" s="49">
        <f t="shared" si="235"/>
        <v>0.2098323216668819</v>
      </c>
      <c r="S475" s="48">
        <f>SUM(S471:S474)</f>
        <v>0</v>
      </c>
      <c r="T475" s="49">
        <f t="shared" si="236"/>
        <v>0</v>
      </c>
      <c r="U475" s="48">
        <f>SUM(U471:U474)</f>
        <v>0</v>
      </c>
      <c r="V475" s="49">
        <f t="shared" si="237"/>
        <v>0</v>
      </c>
      <c r="W475" s="48">
        <f>SUM(W471:W474)</f>
        <v>0</v>
      </c>
      <c r="X475" s="49">
        <f t="shared" si="238"/>
        <v>0</v>
      </c>
      <c r="Y475" s="48">
        <f>SUM(Y471:Y474)</f>
        <v>95971</v>
      </c>
      <c r="Z475" s="48">
        <f>SUM(Z471:Z474)</f>
        <v>99841</v>
      </c>
    </row>
    <row r="476" spans="1:26" ht="13.9" customHeight="1" x14ac:dyDescent="0.25">
      <c r="A476" s="15">
        <v>7</v>
      </c>
      <c r="B476" s="15">
        <v>1</v>
      </c>
      <c r="C476" s="15">
        <v>1</v>
      </c>
      <c r="D476" s="50" t="s">
        <v>242</v>
      </c>
      <c r="E476" s="24">
        <v>640</v>
      </c>
      <c r="F476" s="24" t="s">
        <v>130</v>
      </c>
      <c r="G476" s="25">
        <v>1166.6600000000001</v>
      </c>
      <c r="H476" s="25">
        <v>953.15</v>
      </c>
      <c r="I476" s="25">
        <v>1074</v>
      </c>
      <c r="J476" s="25">
        <v>1276</v>
      </c>
      <c r="K476" s="25">
        <v>1202</v>
      </c>
      <c r="L476" s="25"/>
      <c r="M476" s="25"/>
      <c r="N476" s="25"/>
      <c r="O476" s="25"/>
      <c r="P476" s="25">
        <f>K476+SUM(L476:O476)</f>
        <v>1202</v>
      </c>
      <c r="Q476" s="25">
        <v>0</v>
      </c>
      <c r="R476" s="26">
        <f t="shared" si="235"/>
        <v>0</v>
      </c>
      <c r="S476" s="25"/>
      <c r="T476" s="26">
        <f t="shared" si="236"/>
        <v>0</v>
      </c>
      <c r="U476" s="25"/>
      <c r="V476" s="26">
        <f t="shared" si="237"/>
        <v>0</v>
      </c>
      <c r="W476" s="25"/>
      <c r="X476" s="26">
        <f t="shared" si="238"/>
        <v>0</v>
      </c>
      <c r="Y476" s="25">
        <f>K476</f>
        <v>1202</v>
      </c>
      <c r="Z476" s="25">
        <f>Y476</f>
        <v>1202</v>
      </c>
    </row>
    <row r="477" spans="1:26" ht="13.9" customHeight="1" x14ac:dyDescent="0.25">
      <c r="A477" s="15">
        <v>7</v>
      </c>
      <c r="B477" s="15">
        <v>1</v>
      </c>
      <c r="C477" s="15">
        <v>1</v>
      </c>
      <c r="D477" s="79" t="s">
        <v>21</v>
      </c>
      <c r="E477" s="47">
        <v>72</v>
      </c>
      <c r="F477" s="47" t="s">
        <v>25</v>
      </c>
      <c r="G477" s="48">
        <f t="shared" ref="G477:Q477" si="241">SUM(G476)</f>
        <v>1166.6600000000001</v>
      </c>
      <c r="H477" s="48">
        <f t="shared" si="241"/>
        <v>953.15</v>
      </c>
      <c r="I477" s="48">
        <f t="shared" si="241"/>
        <v>1074</v>
      </c>
      <c r="J477" s="48">
        <f t="shared" si="241"/>
        <v>1276</v>
      </c>
      <c r="K477" s="48">
        <f t="shared" si="241"/>
        <v>1202</v>
      </c>
      <c r="L477" s="48">
        <f t="shared" si="241"/>
        <v>0</v>
      </c>
      <c r="M477" s="48">
        <f t="shared" si="241"/>
        <v>0</v>
      </c>
      <c r="N477" s="48">
        <f t="shared" si="241"/>
        <v>0</v>
      </c>
      <c r="O477" s="48">
        <f t="shared" si="241"/>
        <v>0</v>
      </c>
      <c r="P477" s="48">
        <f t="shared" si="241"/>
        <v>1202</v>
      </c>
      <c r="Q477" s="48">
        <f t="shared" si="241"/>
        <v>0</v>
      </c>
      <c r="R477" s="49">
        <f t="shared" si="235"/>
        <v>0</v>
      </c>
      <c r="S477" s="48">
        <f>SUM(S476)</f>
        <v>0</v>
      </c>
      <c r="T477" s="49">
        <f t="shared" si="236"/>
        <v>0</v>
      </c>
      <c r="U477" s="48">
        <f>SUM(U476)</f>
        <v>0</v>
      </c>
      <c r="V477" s="49">
        <f t="shared" si="237"/>
        <v>0</v>
      </c>
      <c r="W477" s="48">
        <f>SUM(W476)</f>
        <v>0</v>
      </c>
      <c r="X477" s="49">
        <f t="shared" si="238"/>
        <v>0</v>
      </c>
      <c r="Y477" s="48">
        <f>SUM(Y476)</f>
        <v>1202</v>
      </c>
      <c r="Z477" s="48">
        <f>SUM(Z476)</f>
        <v>1202</v>
      </c>
    </row>
    <row r="478" spans="1:26" ht="13.9" customHeight="1" x14ac:dyDescent="0.25">
      <c r="A478" s="15">
        <v>7</v>
      </c>
      <c r="B478" s="15">
        <v>1</v>
      </c>
      <c r="C478" s="15">
        <v>1</v>
      </c>
      <c r="D478" s="30"/>
      <c r="E478" s="31"/>
      <c r="F478" s="27" t="s">
        <v>122</v>
      </c>
      <c r="G478" s="28">
        <f t="shared" ref="G478:Q478" si="242">G470+G475+G477</f>
        <v>175543.02</v>
      </c>
      <c r="H478" s="28">
        <f t="shared" si="242"/>
        <v>164655.37</v>
      </c>
      <c r="I478" s="28">
        <f t="shared" si="242"/>
        <v>168956</v>
      </c>
      <c r="J478" s="28">
        <f t="shared" si="242"/>
        <v>159103</v>
      </c>
      <c r="K478" s="28">
        <f t="shared" si="242"/>
        <v>167054</v>
      </c>
      <c r="L478" s="28">
        <f t="shared" si="242"/>
        <v>1838</v>
      </c>
      <c r="M478" s="28">
        <f t="shared" si="242"/>
        <v>0</v>
      </c>
      <c r="N478" s="28">
        <f t="shared" si="242"/>
        <v>0</v>
      </c>
      <c r="O478" s="28">
        <f t="shared" si="242"/>
        <v>0</v>
      </c>
      <c r="P478" s="28">
        <f t="shared" si="242"/>
        <v>168892</v>
      </c>
      <c r="Q478" s="28">
        <f t="shared" si="242"/>
        <v>37520.97</v>
      </c>
      <c r="R478" s="29">
        <f t="shared" si="235"/>
        <v>0.22215954574520996</v>
      </c>
      <c r="S478" s="28">
        <f>S470+S475+S477</f>
        <v>0</v>
      </c>
      <c r="T478" s="29">
        <f t="shared" si="236"/>
        <v>0</v>
      </c>
      <c r="U478" s="28">
        <f>U470+U475+U477</f>
        <v>0</v>
      </c>
      <c r="V478" s="29">
        <f t="shared" si="237"/>
        <v>0</v>
      </c>
      <c r="W478" s="28">
        <f>W470+W475+W477</f>
        <v>0</v>
      </c>
      <c r="X478" s="29">
        <f t="shared" si="238"/>
        <v>0</v>
      </c>
      <c r="Y478" s="28">
        <f>Y470+Y475+Y477</f>
        <v>170109</v>
      </c>
      <c r="Z478" s="28">
        <f>Z470+Z475+Z477</f>
        <v>173979</v>
      </c>
    </row>
    <row r="480" spans="1:26" ht="13.9" customHeight="1" x14ac:dyDescent="0.25">
      <c r="E480" s="51" t="s">
        <v>55</v>
      </c>
      <c r="F480" s="30" t="s">
        <v>143</v>
      </c>
      <c r="G480" s="52">
        <v>7363</v>
      </c>
      <c r="H480" s="52">
        <v>1928.71</v>
      </c>
      <c r="I480" s="52">
        <v>1835</v>
      </c>
      <c r="J480" s="52">
        <v>1670</v>
      </c>
      <c r="K480" s="52">
        <v>1670</v>
      </c>
      <c r="L480" s="52"/>
      <c r="M480" s="52"/>
      <c r="N480" s="52"/>
      <c r="O480" s="52"/>
      <c r="P480" s="52">
        <f>K480+SUM(L480:O480)</f>
        <v>1670</v>
      </c>
      <c r="Q480" s="52">
        <v>376.03</v>
      </c>
      <c r="R480" s="53">
        <f>IFERROR(Q480/$P480,0)</f>
        <v>0.22516766467065866</v>
      </c>
      <c r="S480" s="52"/>
      <c r="T480" s="53">
        <f>IFERROR(S480/$P480,0)</f>
        <v>0</v>
      </c>
      <c r="U480" s="52"/>
      <c r="V480" s="53">
        <f>IFERROR(U480/$P480,0)</f>
        <v>0</v>
      </c>
      <c r="W480" s="52"/>
      <c r="X480" s="54">
        <f>IFERROR(W480/$P480,0)</f>
        <v>0</v>
      </c>
      <c r="Y480" s="52">
        <f>K480</f>
        <v>1670</v>
      </c>
      <c r="Z480" s="55">
        <f>Y480</f>
        <v>1670</v>
      </c>
    </row>
    <row r="481" spans="1:26" ht="13.9" customHeight="1" x14ac:dyDescent="0.25">
      <c r="E481" s="56"/>
      <c r="F481" s="92" t="s">
        <v>144</v>
      </c>
      <c r="G481" s="95">
        <v>6567</v>
      </c>
      <c r="H481" s="95">
        <v>2211</v>
      </c>
      <c r="I481" s="95">
        <v>2210</v>
      </c>
      <c r="J481" s="95">
        <v>2884</v>
      </c>
      <c r="K481" s="95">
        <v>2890</v>
      </c>
      <c r="L481" s="95"/>
      <c r="M481" s="95"/>
      <c r="N481" s="95"/>
      <c r="O481" s="95"/>
      <c r="P481" s="95">
        <f>K481+SUM(L481:O481)</f>
        <v>2890</v>
      </c>
      <c r="Q481" s="95">
        <v>1518.65</v>
      </c>
      <c r="R481" s="96">
        <f>IFERROR(Q481/$P481,0)</f>
        <v>0.525484429065744</v>
      </c>
      <c r="S481" s="95"/>
      <c r="T481" s="96">
        <f>IFERROR(S481/$P481,0)</f>
        <v>0</v>
      </c>
      <c r="U481" s="95"/>
      <c r="V481" s="96">
        <f>IFERROR(U481/$P481,0)</f>
        <v>0</v>
      </c>
      <c r="W481" s="95"/>
      <c r="X481" s="59">
        <f>IFERROR(W481/$P481,0)</f>
        <v>0</v>
      </c>
      <c r="Y481" s="95">
        <f>K481</f>
        <v>2890</v>
      </c>
      <c r="Z481" s="60">
        <f>Y481</f>
        <v>2890</v>
      </c>
    </row>
    <row r="482" spans="1:26" ht="13.9" customHeight="1" x14ac:dyDescent="0.25">
      <c r="E482" s="103"/>
      <c r="F482" s="119" t="s">
        <v>243</v>
      </c>
      <c r="G482" s="108">
        <v>14993.74</v>
      </c>
      <c r="H482" s="108">
        <v>15583.54</v>
      </c>
      <c r="I482" s="108">
        <v>19053</v>
      </c>
      <c r="J482" s="108">
        <v>16469</v>
      </c>
      <c r="K482" s="108">
        <v>15600</v>
      </c>
      <c r="L482" s="108"/>
      <c r="M482" s="108"/>
      <c r="N482" s="108"/>
      <c r="O482" s="108"/>
      <c r="P482" s="108">
        <f>K482+SUM(L482:O482)</f>
        <v>15600</v>
      </c>
      <c r="Q482" s="108">
        <v>4199.6000000000004</v>
      </c>
      <c r="R482" s="125">
        <f>IFERROR(Q482/$P482,0)</f>
        <v>0.26920512820512821</v>
      </c>
      <c r="S482" s="108"/>
      <c r="T482" s="125">
        <f>IFERROR(S482/$P482,0)</f>
        <v>0</v>
      </c>
      <c r="U482" s="108"/>
      <c r="V482" s="125">
        <f>IFERROR(U482/$P482,0)</f>
        <v>0</v>
      </c>
      <c r="W482" s="108"/>
      <c r="X482" s="126">
        <f>IFERROR(W482/$P482,0)</f>
        <v>0</v>
      </c>
      <c r="Y482" s="66">
        <f>K482</f>
        <v>15600</v>
      </c>
      <c r="Z482" s="69">
        <f>Y482</f>
        <v>15600</v>
      </c>
    </row>
    <row r="484" spans="1:26" ht="13.9" customHeight="1" x14ac:dyDescent="0.25">
      <c r="D484" s="72" t="s">
        <v>244</v>
      </c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3"/>
      <c r="S484" s="72"/>
      <c r="T484" s="73"/>
      <c r="U484" s="72"/>
      <c r="V484" s="73"/>
      <c r="W484" s="72"/>
      <c r="X484" s="73"/>
      <c r="Y484" s="72"/>
      <c r="Z484" s="72"/>
    </row>
    <row r="485" spans="1:26" ht="13.9" customHeight="1" x14ac:dyDescent="0.25">
      <c r="D485" s="21" t="s">
        <v>32</v>
      </c>
      <c r="E485" s="21" t="s">
        <v>33</v>
      </c>
      <c r="F485" s="21" t="s">
        <v>34</v>
      </c>
      <c r="G485" s="21" t="s">
        <v>1</v>
      </c>
      <c r="H485" s="21" t="s">
        <v>2</v>
      </c>
      <c r="I485" s="21" t="s">
        <v>3</v>
      </c>
      <c r="J485" s="21" t="s">
        <v>4</v>
      </c>
      <c r="K485" s="21" t="s">
        <v>5</v>
      </c>
      <c r="L485" s="21" t="s">
        <v>6</v>
      </c>
      <c r="M485" s="21" t="s">
        <v>7</v>
      </c>
      <c r="N485" s="21" t="s">
        <v>8</v>
      </c>
      <c r="O485" s="21" t="s">
        <v>9</v>
      </c>
      <c r="P485" s="21" t="s">
        <v>10</v>
      </c>
      <c r="Q485" s="21" t="s">
        <v>11</v>
      </c>
      <c r="R485" s="22" t="s">
        <v>12</v>
      </c>
      <c r="S485" s="21" t="s">
        <v>13</v>
      </c>
      <c r="T485" s="22" t="s">
        <v>14</v>
      </c>
      <c r="U485" s="21" t="s">
        <v>15</v>
      </c>
      <c r="V485" s="22" t="s">
        <v>16</v>
      </c>
      <c r="W485" s="21" t="s">
        <v>17</v>
      </c>
      <c r="X485" s="22" t="s">
        <v>18</v>
      </c>
      <c r="Y485" s="21" t="s">
        <v>19</v>
      </c>
      <c r="Z485" s="21" t="s">
        <v>20</v>
      </c>
    </row>
    <row r="486" spans="1:26" ht="13.9" customHeight="1" x14ac:dyDescent="0.25">
      <c r="A486" s="15">
        <v>7</v>
      </c>
      <c r="B486" s="15">
        <v>1</v>
      </c>
      <c r="C486" s="15">
        <v>2</v>
      </c>
      <c r="D486" s="10" t="s">
        <v>242</v>
      </c>
      <c r="E486" s="24">
        <v>610</v>
      </c>
      <c r="F486" s="24" t="s">
        <v>127</v>
      </c>
      <c r="G486" s="25">
        <v>0</v>
      </c>
      <c r="H486" s="25">
        <v>0</v>
      </c>
      <c r="I486" s="25">
        <v>0</v>
      </c>
      <c r="J486" s="25">
        <v>800</v>
      </c>
      <c r="K486" s="25">
        <v>12005</v>
      </c>
      <c r="L486" s="25"/>
      <c r="M486" s="25"/>
      <c r="N486" s="25"/>
      <c r="O486" s="25"/>
      <c r="P486" s="25">
        <f>K486+SUM(L486:O486)</f>
        <v>12005</v>
      </c>
      <c r="Q486" s="25">
        <v>0</v>
      </c>
      <c r="R486" s="26">
        <f t="shared" ref="R486:R497" si="243">IFERROR(Q486/$P486,0)</f>
        <v>0</v>
      </c>
      <c r="S486" s="25"/>
      <c r="T486" s="26">
        <f t="shared" ref="T486:T497" si="244">IFERROR(S486/$P486,0)</f>
        <v>0</v>
      </c>
      <c r="U486" s="25"/>
      <c r="V486" s="26">
        <f t="shared" ref="V486:V497" si="245">IFERROR(U486/$P486,0)</f>
        <v>0</v>
      </c>
      <c r="W486" s="25"/>
      <c r="X486" s="26">
        <f t="shared" ref="X486:X497" si="246">IFERROR(W486/$P486,0)</f>
        <v>0</v>
      </c>
      <c r="Y486" s="25">
        <f>K486</f>
        <v>12005</v>
      </c>
      <c r="Z486" s="25">
        <f>Y486</f>
        <v>12005</v>
      </c>
    </row>
    <row r="487" spans="1:26" ht="13.9" customHeight="1" x14ac:dyDescent="0.25">
      <c r="A487" s="15">
        <v>7</v>
      </c>
      <c r="B487" s="15">
        <v>1</v>
      </c>
      <c r="C487" s="15">
        <v>2</v>
      </c>
      <c r="D487" s="10"/>
      <c r="E487" s="24">
        <v>620</v>
      </c>
      <c r="F487" s="24" t="s">
        <v>128</v>
      </c>
      <c r="G487" s="25">
        <v>0</v>
      </c>
      <c r="H487" s="25">
        <v>0</v>
      </c>
      <c r="I487" s="25">
        <v>0</v>
      </c>
      <c r="J487" s="25">
        <v>287</v>
      </c>
      <c r="K487" s="25">
        <v>4315</v>
      </c>
      <c r="L487" s="25"/>
      <c r="M487" s="25"/>
      <c r="N487" s="25"/>
      <c r="O487" s="25"/>
      <c r="P487" s="25">
        <f>K487+SUM(L487:O487)</f>
        <v>4315</v>
      </c>
      <c r="Q487" s="25">
        <v>0</v>
      </c>
      <c r="R487" s="26">
        <f t="shared" si="243"/>
        <v>0</v>
      </c>
      <c r="S487" s="25"/>
      <c r="T487" s="26">
        <f t="shared" si="244"/>
        <v>0</v>
      </c>
      <c r="U487" s="25"/>
      <c r="V487" s="26">
        <f t="shared" si="245"/>
        <v>0</v>
      </c>
      <c r="W487" s="25"/>
      <c r="X487" s="26">
        <f t="shared" si="246"/>
        <v>0</v>
      </c>
      <c r="Y487" s="25">
        <f>K487</f>
        <v>4315</v>
      </c>
      <c r="Z487" s="25">
        <f>Y487</f>
        <v>4315</v>
      </c>
    </row>
    <row r="488" spans="1:26" ht="13.9" customHeight="1" x14ac:dyDescent="0.25">
      <c r="A488" s="15">
        <v>7</v>
      </c>
      <c r="B488" s="15">
        <v>1</v>
      </c>
      <c r="C488" s="15">
        <v>2</v>
      </c>
      <c r="D488" s="10"/>
      <c r="E488" s="24">
        <v>630</v>
      </c>
      <c r="F488" s="24" t="s">
        <v>129</v>
      </c>
      <c r="G488" s="25">
        <v>0</v>
      </c>
      <c r="H488" s="25">
        <v>0</v>
      </c>
      <c r="I488" s="25">
        <v>0</v>
      </c>
      <c r="J488" s="25">
        <v>0</v>
      </c>
      <c r="K488" s="25">
        <v>16320</v>
      </c>
      <c r="L488" s="25"/>
      <c r="M488" s="25"/>
      <c r="N488" s="25"/>
      <c r="O488" s="25"/>
      <c r="P488" s="25">
        <f>K488+SUM(L488:O488)</f>
        <v>16320</v>
      </c>
      <c r="Q488" s="25">
        <v>0</v>
      </c>
      <c r="R488" s="26">
        <f t="shared" si="243"/>
        <v>0</v>
      </c>
      <c r="S488" s="25"/>
      <c r="T488" s="26">
        <f t="shared" si="244"/>
        <v>0</v>
      </c>
      <c r="U488" s="25"/>
      <c r="V488" s="26">
        <f t="shared" si="245"/>
        <v>0</v>
      </c>
      <c r="W488" s="25"/>
      <c r="X488" s="26">
        <f t="shared" si="246"/>
        <v>0</v>
      </c>
      <c r="Y488" s="25">
        <f>K488</f>
        <v>16320</v>
      </c>
      <c r="Z488" s="25">
        <f>Y488</f>
        <v>16320</v>
      </c>
    </row>
    <row r="489" spans="1:26" ht="13.9" customHeight="1" x14ac:dyDescent="0.25">
      <c r="A489" s="15">
        <v>7</v>
      </c>
      <c r="B489" s="15">
        <v>1</v>
      </c>
      <c r="C489" s="15">
        <v>2</v>
      </c>
      <c r="D489" s="79" t="s">
        <v>21</v>
      </c>
      <c r="E489" s="47">
        <v>111</v>
      </c>
      <c r="F489" s="47" t="s">
        <v>132</v>
      </c>
      <c r="G489" s="48">
        <f t="shared" ref="G489:Q489" si="247">SUM(G486:G488)</f>
        <v>0</v>
      </c>
      <c r="H489" s="48">
        <f t="shared" si="247"/>
        <v>0</v>
      </c>
      <c r="I489" s="48">
        <f t="shared" si="247"/>
        <v>0</v>
      </c>
      <c r="J489" s="48">
        <f t="shared" si="247"/>
        <v>1087</v>
      </c>
      <c r="K489" s="48">
        <f t="shared" si="247"/>
        <v>32640</v>
      </c>
      <c r="L489" s="48">
        <f t="shared" si="247"/>
        <v>0</v>
      </c>
      <c r="M489" s="48">
        <f t="shared" si="247"/>
        <v>0</v>
      </c>
      <c r="N489" s="48">
        <f t="shared" si="247"/>
        <v>0</v>
      </c>
      <c r="O489" s="48">
        <f t="shared" si="247"/>
        <v>0</v>
      </c>
      <c r="P489" s="48">
        <f t="shared" si="247"/>
        <v>32640</v>
      </c>
      <c r="Q489" s="48">
        <f t="shared" si="247"/>
        <v>0</v>
      </c>
      <c r="R489" s="49">
        <f t="shared" si="243"/>
        <v>0</v>
      </c>
      <c r="S489" s="48">
        <f>SUM(S486:S488)</f>
        <v>0</v>
      </c>
      <c r="T489" s="49">
        <f t="shared" si="244"/>
        <v>0</v>
      </c>
      <c r="U489" s="48">
        <f>SUM(U486:U488)</f>
        <v>0</v>
      </c>
      <c r="V489" s="49">
        <f t="shared" si="245"/>
        <v>0</v>
      </c>
      <c r="W489" s="48">
        <f>SUM(W486:W488)</f>
        <v>0</v>
      </c>
      <c r="X489" s="49">
        <f t="shared" si="246"/>
        <v>0</v>
      </c>
      <c r="Y489" s="48">
        <f>SUM(Y486:Y488)</f>
        <v>32640</v>
      </c>
      <c r="Z489" s="48">
        <f>SUM(Z486:Z488)</f>
        <v>32640</v>
      </c>
    </row>
    <row r="490" spans="1:26" ht="13.9" customHeight="1" x14ac:dyDescent="0.25">
      <c r="A490" s="15">
        <v>7</v>
      </c>
      <c r="B490" s="15">
        <v>1</v>
      </c>
      <c r="C490" s="15">
        <v>2</v>
      </c>
      <c r="D490" s="10" t="s">
        <v>242</v>
      </c>
      <c r="E490" s="24">
        <v>610</v>
      </c>
      <c r="F490" s="24" t="s">
        <v>127</v>
      </c>
      <c r="G490" s="25">
        <v>0</v>
      </c>
      <c r="H490" s="25">
        <v>0</v>
      </c>
      <c r="I490" s="25">
        <v>16661</v>
      </c>
      <c r="J490" s="25">
        <v>10384</v>
      </c>
      <c r="K490" s="25">
        <v>10471</v>
      </c>
      <c r="L490" s="25">
        <v>-240</v>
      </c>
      <c r="M490" s="25"/>
      <c r="N490" s="25"/>
      <c r="O490" s="25"/>
      <c r="P490" s="25">
        <f>K490+SUM(L490:O490)</f>
        <v>10231</v>
      </c>
      <c r="Q490" s="25">
        <v>2220.8000000000002</v>
      </c>
      <c r="R490" s="26">
        <f t="shared" si="243"/>
        <v>0.21706578047111721</v>
      </c>
      <c r="S490" s="25"/>
      <c r="T490" s="26">
        <f t="shared" si="244"/>
        <v>0</v>
      </c>
      <c r="U490" s="25"/>
      <c r="V490" s="26">
        <f t="shared" si="245"/>
        <v>0</v>
      </c>
      <c r="W490" s="25"/>
      <c r="X490" s="26">
        <f t="shared" si="246"/>
        <v>0</v>
      </c>
      <c r="Y490" s="25">
        <v>10959</v>
      </c>
      <c r="Z490" s="25">
        <v>11471</v>
      </c>
    </row>
    <row r="491" spans="1:26" ht="13.9" customHeight="1" x14ac:dyDescent="0.25">
      <c r="A491" s="15">
        <v>7</v>
      </c>
      <c r="B491" s="15">
        <v>1</v>
      </c>
      <c r="C491" s="15">
        <v>2</v>
      </c>
      <c r="D491" s="10"/>
      <c r="E491" s="24">
        <v>620</v>
      </c>
      <c r="F491" s="24" t="s">
        <v>128</v>
      </c>
      <c r="G491" s="25">
        <v>0</v>
      </c>
      <c r="H491" s="25">
        <v>0</v>
      </c>
      <c r="I491" s="25">
        <v>3784</v>
      </c>
      <c r="J491" s="25">
        <v>3733</v>
      </c>
      <c r="K491" s="25">
        <v>3765</v>
      </c>
      <c r="L491" s="25"/>
      <c r="M491" s="25"/>
      <c r="N491" s="25"/>
      <c r="O491" s="25"/>
      <c r="P491" s="25">
        <f>K491+SUM(L491:O491)</f>
        <v>3765</v>
      </c>
      <c r="Q491" s="25">
        <v>798.28</v>
      </c>
      <c r="R491" s="26">
        <f t="shared" si="243"/>
        <v>0.21202656042496679</v>
      </c>
      <c r="S491" s="25"/>
      <c r="T491" s="26">
        <f t="shared" si="244"/>
        <v>0</v>
      </c>
      <c r="U491" s="25"/>
      <c r="V491" s="26">
        <f t="shared" si="245"/>
        <v>0</v>
      </c>
      <c r="W491" s="25"/>
      <c r="X491" s="26">
        <f t="shared" si="246"/>
        <v>0</v>
      </c>
      <c r="Y491" s="25">
        <v>3941</v>
      </c>
      <c r="Z491" s="25">
        <v>4125</v>
      </c>
    </row>
    <row r="492" spans="1:26" ht="13.9" customHeight="1" x14ac:dyDescent="0.25">
      <c r="A492" s="15">
        <v>7</v>
      </c>
      <c r="B492" s="15">
        <v>1</v>
      </c>
      <c r="C492" s="15">
        <v>2</v>
      </c>
      <c r="D492" s="10"/>
      <c r="E492" s="24">
        <v>630</v>
      </c>
      <c r="F492" s="24" t="s">
        <v>129</v>
      </c>
      <c r="G492" s="25">
        <v>2904.05</v>
      </c>
      <c r="H492" s="25">
        <v>2736.6</v>
      </c>
      <c r="I492" s="25">
        <v>7331</v>
      </c>
      <c r="J492" s="25">
        <v>8872</v>
      </c>
      <c r="K492" s="25">
        <f>3041+16416</f>
        <v>19457</v>
      </c>
      <c r="L492" s="25"/>
      <c r="M492" s="25"/>
      <c r="N492" s="25"/>
      <c r="O492" s="25"/>
      <c r="P492" s="25">
        <f>K492+SUM(L492:O492)</f>
        <v>19457</v>
      </c>
      <c r="Q492" s="25">
        <v>1588.18</v>
      </c>
      <c r="R492" s="26">
        <f t="shared" si="243"/>
        <v>8.1625122064038658E-2</v>
      </c>
      <c r="S492" s="25"/>
      <c r="T492" s="26">
        <f t="shared" si="244"/>
        <v>0</v>
      </c>
      <c r="U492" s="25"/>
      <c r="V492" s="26">
        <f t="shared" si="245"/>
        <v>0</v>
      </c>
      <c r="W492" s="25"/>
      <c r="X492" s="26">
        <f t="shared" si="246"/>
        <v>0</v>
      </c>
      <c r="Y492" s="25">
        <f>3031+16416</f>
        <v>19447</v>
      </c>
      <c r="Z492" s="25">
        <f>2984+16416</f>
        <v>19400</v>
      </c>
    </row>
    <row r="493" spans="1:26" ht="13.9" customHeight="1" x14ac:dyDescent="0.25">
      <c r="A493" s="15">
        <v>7</v>
      </c>
      <c r="B493" s="15">
        <v>1</v>
      </c>
      <c r="C493" s="15">
        <v>2</v>
      </c>
      <c r="D493" s="10"/>
      <c r="E493" s="24">
        <v>640</v>
      </c>
      <c r="F493" s="24" t="s">
        <v>130</v>
      </c>
      <c r="G493" s="25">
        <v>0</v>
      </c>
      <c r="H493" s="25">
        <v>0</v>
      </c>
      <c r="I493" s="25">
        <v>0</v>
      </c>
      <c r="J493" s="25">
        <v>142</v>
      </c>
      <c r="K493" s="25">
        <v>0</v>
      </c>
      <c r="L493" s="45">
        <v>240</v>
      </c>
      <c r="M493" s="25"/>
      <c r="N493" s="25"/>
      <c r="O493" s="25"/>
      <c r="P493" s="25">
        <f>K493+SUM(L493:O493)</f>
        <v>240</v>
      </c>
      <c r="Q493" s="25">
        <v>239.96</v>
      </c>
      <c r="R493" s="26">
        <f t="shared" si="243"/>
        <v>0.99983333333333335</v>
      </c>
      <c r="S493" s="25"/>
      <c r="T493" s="26">
        <f t="shared" si="244"/>
        <v>0</v>
      </c>
      <c r="U493" s="25"/>
      <c r="V493" s="26">
        <f t="shared" si="245"/>
        <v>0</v>
      </c>
      <c r="W493" s="25"/>
      <c r="X493" s="26">
        <f t="shared" si="246"/>
        <v>0</v>
      </c>
      <c r="Y493" s="25">
        <f>K493</f>
        <v>0</v>
      </c>
      <c r="Z493" s="25">
        <f>Y493</f>
        <v>0</v>
      </c>
    </row>
    <row r="494" spans="1:26" ht="13.9" customHeight="1" x14ac:dyDescent="0.25">
      <c r="A494" s="15">
        <v>7</v>
      </c>
      <c r="B494" s="15">
        <v>1</v>
      </c>
      <c r="C494" s="15">
        <v>2</v>
      </c>
      <c r="D494" s="79" t="s">
        <v>21</v>
      </c>
      <c r="E494" s="47">
        <v>41</v>
      </c>
      <c r="F494" s="47" t="s">
        <v>23</v>
      </c>
      <c r="G494" s="48">
        <f t="shared" ref="G494:Q494" si="248">SUM(G490:G493)</f>
        <v>2904.05</v>
      </c>
      <c r="H494" s="48">
        <f t="shared" si="248"/>
        <v>2736.6</v>
      </c>
      <c r="I494" s="48">
        <f t="shared" si="248"/>
        <v>27776</v>
      </c>
      <c r="J494" s="48">
        <f t="shared" si="248"/>
        <v>23131</v>
      </c>
      <c r="K494" s="48">
        <f t="shared" si="248"/>
        <v>33693</v>
      </c>
      <c r="L494" s="48">
        <f t="shared" si="248"/>
        <v>0</v>
      </c>
      <c r="M494" s="48">
        <f t="shared" si="248"/>
        <v>0</v>
      </c>
      <c r="N494" s="48">
        <f t="shared" si="248"/>
        <v>0</v>
      </c>
      <c r="O494" s="48">
        <f t="shared" si="248"/>
        <v>0</v>
      </c>
      <c r="P494" s="48">
        <f t="shared" si="248"/>
        <v>33693</v>
      </c>
      <c r="Q494" s="48">
        <f t="shared" si="248"/>
        <v>4847.22</v>
      </c>
      <c r="R494" s="49">
        <f t="shared" si="243"/>
        <v>0.14386430415813375</v>
      </c>
      <c r="S494" s="48">
        <f>SUM(S490:S493)</f>
        <v>0</v>
      </c>
      <c r="T494" s="49">
        <f t="shared" si="244"/>
        <v>0</v>
      </c>
      <c r="U494" s="48">
        <f>SUM(U490:U493)</f>
        <v>0</v>
      </c>
      <c r="V494" s="49">
        <f t="shared" si="245"/>
        <v>0</v>
      </c>
      <c r="W494" s="48">
        <f>SUM(W490:W493)</f>
        <v>0</v>
      </c>
      <c r="X494" s="49">
        <f t="shared" si="246"/>
        <v>0</v>
      </c>
      <c r="Y494" s="48">
        <f>SUM(Y490:Y493)</f>
        <v>34347</v>
      </c>
      <c r="Z494" s="48">
        <f>SUM(Z490:Z493)</f>
        <v>34996</v>
      </c>
    </row>
    <row r="495" spans="1:26" ht="13.9" customHeight="1" x14ac:dyDescent="0.25">
      <c r="A495" s="15">
        <v>7</v>
      </c>
      <c r="B495" s="15">
        <v>1</v>
      </c>
      <c r="C495" s="15">
        <v>2</v>
      </c>
      <c r="D495" s="50" t="s">
        <v>242</v>
      </c>
      <c r="E495" s="24">
        <v>640</v>
      </c>
      <c r="F495" s="24" t="s">
        <v>130</v>
      </c>
      <c r="G495" s="25">
        <v>0</v>
      </c>
      <c r="H495" s="25">
        <v>0</v>
      </c>
      <c r="I495" s="25">
        <v>285</v>
      </c>
      <c r="J495" s="25">
        <v>205</v>
      </c>
      <c r="K495" s="25">
        <v>172</v>
      </c>
      <c r="L495" s="25"/>
      <c r="M495" s="25"/>
      <c r="N495" s="25"/>
      <c r="O495" s="25"/>
      <c r="P495" s="25">
        <f>K495+SUM(L495:O495)</f>
        <v>172</v>
      </c>
      <c r="Q495" s="25">
        <v>0</v>
      </c>
      <c r="R495" s="26">
        <f t="shared" si="243"/>
        <v>0</v>
      </c>
      <c r="S495" s="25"/>
      <c r="T495" s="26">
        <f t="shared" si="244"/>
        <v>0</v>
      </c>
      <c r="U495" s="25"/>
      <c r="V495" s="26">
        <f t="shared" si="245"/>
        <v>0</v>
      </c>
      <c r="W495" s="25"/>
      <c r="X495" s="26">
        <f t="shared" si="246"/>
        <v>0</v>
      </c>
      <c r="Y495" s="25">
        <f>K495</f>
        <v>172</v>
      </c>
      <c r="Z495" s="25">
        <f>Y495</f>
        <v>172</v>
      </c>
    </row>
    <row r="496" spans="1:26" ht="13.9" customHeight="1" x14ac:dyDescent="0.25">
      <c r="A496" s="15">
        <v>7</v>
      </c>
      <c r="B496" s="15">
        <v>1</v>
      </c>
      <c r="C496" s="15">
        <v>2</v>
      </c>
      <c r="D496" s="79" t="s">
        <v>21</v>
      </c>
      <c r="E496" s="47">
        <v>72</v>
      </c>
      <c r="F496" s="47" t="s">
        <v>25</v>
      </c>
      <c r="G496" s="48">
        <f t="shared" ref="G496:Q496" si="249">SUM(G495)</f>
        <v>0</v>
      </c>
      <c r="H496" s="48">
        <f t="shared" si="249"/>
        <v>0</v>
      </c>
      <c r="I496" s="48">
        <f t="shared" si="249"/>
        <v>285</v>
      </c>
      <c r="J496" s="48">
        <f t="shared" si="249"/>
        <v>205</v>
      </c>
      <c r="K496" s="48">
        <f t="shared" si="249"/>
        <v>172</v>
      </c>
      <c r="L496" s="48">
        <f t="shared" si="249"/>
        <v>0</v>
      </c>
      <c r="M496" s="48">
        <f t="shared" si="249"/>
        <v>0</v>
      </c>
      <c r="N496" s="48">
        <f t="shared" si="249"/>
        <v>0</v>
      </c>
      <c r="O496" s="48">
        <f t="shared" si="249"/>
        <v>0</v>
      </c>
      <c r="P496" s="48">
        <f t="shared" si="249"/>
        <v>172</v>
      </c>
      <c r="Q496" s="48">
        <f t="shared" si="249"/>
        <v>0</v>
      </c>
      <c r="R496" s="49">
        <f t="shared" si="243"/>
        <v>0</v>
      </c>
      <c r="S496" s="48">
        <f>SUM(S495)</f>
        <v>0</v>
      </c>
      <c r="T496" s="49">
        <f t="shared" si="244"/>
        <v>0</v>
      </c>
      <c r="U496" s="48">
        <f>SUM(U495)</f>
        <v>0</v>
      </c>
      <c r="V496" s="49">
        <f t="shared" si="245"/>
        <v>0</v>
      </c>
      <c r="W496" s="48">
        <f>SUM(W495)</f>
        <v>0</v>
      </c>
      <c r="X496" s="49">
        <f t="shared" si="246"/>
        <v>0</v>
      </c>
      <c r="Y496" s="48">
        <f>SUM(Y495)</f>
        <v>172</v>
      </c>
      <c r="Z496" s="48">
        <f>SUM(Z495)</f>
        <v>172</v>
      </c>
    </row>
    <row r="497" spans="1:26" ht="13.9" customHeight="1" x14ac:dyDescent="0.25">
      <c r="A497" s="15">
        <v>7</v>
      </c>
      <c r="B497" s="15">
        <v>1</v>
      </c>
      <c r="C497" s="15">
        <v>2</v>
      </c>
      <c r="D497" s="86"/>
      <c r="E497" s="87"/>
      <c r="F497" s="27" t="s">
        <v>122</v>
      </c>
      <c r="G497" s="28">
        <f t="shared" ref="G497:Q497" si="250">G489+G494+G496</f>
        <v>2904.05</v>
      </c>
      <c r="H497" s="28">
        <f t="shared" si="250"/>
        <v>2736.6</v>
      </c>
      <c r="I497" s="28">
        <f t="shared" si="250"/>
        <v>28061</v>
      </c>
      <c r="J497" s="28">
        <f t="shared" si="250"/>
        <v>24423</v>
      </c>
      <c r="K497" s="28">
        <f t="shared" si="250"/>
        <v>66505</v>
      </c>
      <c r="L497" s="28">
        <f t="shared" si="250"/>
        <v>0</v>
      </c>
      <c r="M497" s="28">
        <f t="shared" si="250"/>
        <v>0</v>
      </c>
      <c r="N497" s="28">
        <f t="shared" si="250"/>
        <v>0</v>
      </c>
      <c r="O497" s="28">
        <f t="shared" si="250"/>
        <v>0</v>
      </c>
      <c r="P497" s="28">
        <f t="shared" si="250"/>
        <v>66505</v>
      </c>
      <c r="Q497" s="28">
        <f t="shared" si="250"/>
        <v>4847.22</v>
      </c>
      <c r="R497" s="29">
        <f t="shared" si="243"/>
        <v>7.2885046237125037E-2</v>
      </c>
      <c r="S497" s="28">
        <f>S489+S494+S496</f>
        <v>0</v>
      </c>
      <c r="T497" s="29">
        <f t="shared" si="244"/>
        <v>0</v>
      </c>
      <c r="U497" s="28">
        <f>U489+U494+U496</f>
        <v>0</v>
      </c>
      <c r="V497" s="29">
        <f t="shared" si="245"/>
        <v>0</v>
      </c>
      <c r="W497" s="28">
        <f>W489+W494+W496</f>
        <v>0</v>
      </c>
      <c r="X497" s="29">
        <f t="shared" si="246"/>
        <v>0</v>
      </c>
      <c r="Y497" s="28">
        <f>Y489+Y494+Y496</f>
        <v>67159</v>
      </c>
      <c r="Z497" s="28">
        <f>Z489+Z494+Z496</f>
        <v>67808</v>
      </c>
    </row>
    <row r="498" spans="1:26" ht="13.9" customHeight="1" x14ac:dyDescent="0.25">
      <c r="D498" s="143"/>
      <c r="E498" s="144"/>
      <c r="F498" s="144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6"/>
      <c r="S498" s="145"/>
      <c r="T498" s="146"/>
      <c r="U498" s="145"/>
      <c r="V498" s="146"/>
      <c r="W498" s="145"/>
      <c r="X498" s="146"/>
      <c r="Y498" s="145"/>
      <c r="Z498" s="145"/>
    </row>
    <row r="499" spans="1:26" ht="13.9" customHeight="1" x14ac:dyDescent="0.25">
      <c r="D499" s="143"/>
      <c r="E499" s="51" t="s">
        <v>55</v>
      </c>
      <c r="F499" s="30" t="s">
        <v>143</v>
      </c>
      <c r="G499" s="52"/>
      <c r="H499" s="52"/>
      <c r="I499" s="52">
        <v>920</v>
      </c>
      <c r="J499" s="52">
        <v>0</v>
      </c>
      <c r="K499" s="52">
        <v>2600</v>
      </c>
      <c r="L499" s="52"/>
      <c r="M499" s="52"/>
      <c r="N499" s="52"/>
      <c r="O499" s="52"/>
      <c r="P499" s="52">
        <f>K499+SUM(L499:O499)</f>
        <v>2600</v>
      </c>
      <c r="Q499" s="52">
        <v>366.51</v>
      </c>
      <c r="R499" s="53">
        <f>IFERROR(Q499/$P499,0)</f>
        <v>0.1409653846153846</v>
      </c>
      <c r="S499" s="52"/>
      <c r="T499" s="53">
        <f>IFERROR(S499/$P499,0)</f>
        <v>0</v>
      </c>
      <c r="U499" s="52"/>
      <c r="V499" s="53">
        <f>IFERROR(U499/$P499,0)</f>
        <v>0</v>
      </c>
      <c r="W499" s="52"/>
      <c r="X499" s="54">
        <f>IFERROR(W499/$P499,0)</f>
        <v>0</v>
      </c>
      <c r="Y499" s="52">
        <f>K499</f>
        <v>2600</v>
      </c>
      <c r="Z499" s="55">
        <f>Y499</f>
        <v>2600</v>
      </c>
    </row>
    <row r="500" spans="1:26" ht="13.9" customHeight="1" x14ac:dyDescent="0.25">
      <c r="D500" s="143"/>
      <c r="E500" s="56"/>
      <c r="F500" s="92" t="s">
        <v>243</v>
      </c>
      <c r="G500" s="95"/>
      <c r="H500" s="95"/>
      <c r="I500" s="95"/>
      <c r="J500" s="95"/>
      <c r="K500" s="95">
        <v>8200</v>
      </c>
      <c r="L500" s="95">
        <v>-777</v>
      </c>
      <c r="M500" s="95"/>
      <c r="N500" s="95"/>
      <c r="O500" s="95"/>
      <c r="P500" s="95">
        <f>K500+SUM(L500:O500)</f>
        <v>7423</v>
      </c>
      <c r="Q500" s="95">
        <v>0</v>
      </c>
      <c r="R500" s="96">
        <f>IFERROR(Q500/$P500,0)</f>
        <v>0</v>
      </c>
      <c r="S500" s="95"/>
      <c r="T500" s="96">
        <f>IFERROR(S500/$P500,0)</f>
        <v>0</v>
      </c>
      <c r="U500" s="95"/>
      <c r="V500" s="96">
        <f>IFERROR(U500/$P500,0)</f>
        <v>0</v>
      </c>
      <c r="W500" s="95"/>
      <c r="X500" s="59">
        <f>IFERROR(W500/$P500,0)</f>
        <v>0</v>
      </c>
      <c r="Y500" s="95">
        <f>K500</f>
        <v>8200</v>
      </c>
      <c r="Z500" s="60">
        <f>Y500</f>
        <v>8200</v>
      </c>
    </row>
    <row r="501" spans="1:26" ht="13.9" customHeight="1" x14ac:dyDescent="0.25">
      <c r="D501" s="143"/>
      <c r="E501" s="64"/>
      <c r="F501" s="97" t="s">
        <v>245</v>
      </c>
      <c r="G501" s="66">
        <v>2904.05</v>
      </c>
      <c r="H501" s="66">
        <v>2736.6</v>
      </c>
      <c r="I501" s="66">
        <v>3000</v>
      </c>
      <c r="J501" s="66">
        <v>3207</v>
      </c>
      <c r="K501" s="66">
        <v>3500</v>
      </c>
      <c r="L501" s="66"/>
      <c r="M501" s="66"/>
      <c r="N501" s="66"/>
      <c r="O501" s="66"/>
      <c r="P501" s="66">
        <f>K501+SUM(L501:O501)</f>
        <v>3500</v>
      </c>
      <c r="Q501" s="66">
        <v>0</v>
      </c>
      <c r="R501" s="67">
        <f>IFERROR(Q501/$P501,0)</f>
        <v>0</v>
      </c>
      <c r="S501" s="66"/>
      <c r="T501" s="67">
        <f>IFERROR(S501/$P501,0)</f>
        <v>0</v>
      </c>
      <c r="U501" s="66"/>
      <c r="V501" s="67">
        <f>IFERROR(U501/$P501,0)</f>
        <v>0</v>
      </c>
      <c r="W501" s="66"/>
      <c r="X501" s="68">
        <f>IFERROR(W501/$P501,0)</f>
        <v>0</v>
      </c>
      <c r="Y501" s="66">
        <f>K501</f>
        <v>3500</v>
      </c>
      <c r="Z501" s="69">
        <f>Y501</f>
        <v>3500</v>
      </c>
    </row>
    <row r="503" spans="1:26" ht="13.9" customHeight="1" x14ac:dyDescent="0.25">
      <c r="D503" s="41" t="s">
        <v>246</v>
      </c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2"/>
      <c r="S503" s="41"/>
      <c r="T503" s="42"/>
      <c r="U503" s="41"/>
      <c r="V503" s="42"/>
      <c r="W503" s="41"/>
      <c r="X503" s="42"/>
      <c r="Y503" s="41"/>
      <c r="Z503" s="41"/>
    </row>
    <row r="504" spans="1:26" ht="13.9" customHeight="1" x14ac:dyDescent="0.25">
      <c r="D504" s="21" t="s">
        <v>32</v>
      </c>
      <c r="E504" s="21" t="s">
        <v>33</v>
      </c>
      <c r="F504" s="21" t="s">
        <v>34</v>
      </c>
      <c r="G504" s="21" t="s">
        <v>1</v>
      </c>
      <c r="H504" s="21" t="s">
        <v>2</v>
      </c>
      <c r="I504" s="21" t="s">
        <v>3</v>
      </c>
      <c r="J504" s="21" t="s">
        <v>4</v>
      </c>
      <c r="K504" s="21" t="s">
        <v>5</v>
      </c>
      <c r="L504" s="21" t="s">
        <v>6</v>
      </c>
      <c r="M504" s="21" t="s">
        <v>7</v>
      </c>
      <c r="N504" s="21" t="s">
        <v>8</v>
      </c>
      <c r="O504" s="21" t="s">
        <v>9</v>
      </c>
      <c r="P504" s="21" t="s">
        <v>10</v>
      </c>
      <c r="Q504" s="21" t="s">
        <v>11</v>
      </c>
      <c r="R504" s="22" t="s">
        <v>12</v>
      </c>
      <c r="S504" s="21" t="s">
        <v>13</v>
      </c>
      <c r="T504" s="22" t="s">
        <v>14</v>
      </c>
      <c r="U504" s="21" t="s">
        <v>15</v>
      </c>
      <c r="V504" s="22" t="s">
        <v>16</v>
      </c>
      <c r="W504" s="21" t="s">
        <v>17</v>
      </c>
      <c r="X504" s="22" t="s">
        <v>18</v>
      </c>
      <c r="Y504" s="21" t="s">
        <v>19</v>
      </c>
      <c r="Z504" s="21" t="s">
        <v>20</v>
      </c>
    </row>
    <row r="505" spans="1:26" ht="13.9" customHeight="1" x14ac:dyDescent="0.25">
      <c r="A505" s="15">
        <v>7</v>
      </c>
      <c r="B505" s="15">
        <v>2</v>
      </c>
      <c r="D505" s="50" t="s">
        <v>247</v>
      </c>
      <c r="E505" s="24">
        <v>640</v>
      </c>
      <c r="F505" s="24" t="s">
        <v>130</v>
      </c>
      <c r="G505" s="45">
        <v>9209.2999999999993</v>
      </c>
      <c r="H505" s="45">
        <v>3485</v>
      </c>
      <c r="I505" s="45">
        <v>3600</v>
      </c>
      <c r="J505" s="45">
        <v>3960</v>
      </c>
      <c r="K505" s="45">
        <f>príjmy!H90</f>
        <v>4320</v>
      </c>
      <c r="L505" s="45"/>
      <c r="M505" s="45"/>
      <c r="N505" s="45"/>
      <c r="O505" s="45"/>
      <c r="P505" s="45">
        <f>K505+SUM(L505:O505)</f>
        <v>4320</v>
      </c>
      <c r="Q505" s="45">
        <v>895</v>
      </c>
      <c r="R505" s="46">
        <f t="shared" ref="R505:R511" si="251">IFERROR(Q505/$P505,0)</f>
        <v>0.20717592592592593</v>
      </c>
      <c r="S505" s="45"/>
      <c r="T505" s="46">
        <f t="shared" ref="T505:T511" si="252">IFERROR(S505/$P505,0)</f>
        <v>0</v>
      </c>
      <c r="U505" s="45"/>
      <c r="V505" s="46">
        <f t="shared" ref="V505:V511" si="253">IFERROR(U505/$P505,0)</f>
        <v>0</v>
      </c>
      <c r="W505" s="45"/>
      <c r="X505" s="46">
        <f t="shared" ref="X505:X511" si="254">IFERROR(W505/$P505,0)</f>
        <v>0</v>
      </c>
      <c r="Y505" s="25">
        <f>K505</f>
        <v>4320</v>
      </c>
      <c r="Z505" s="25">
        <f>Y505</f>
        <v>4320</v>
      </c>
    </row>
    <row r="506" spans="1:26" ht="13.9" customHeight="1" x14ac:dyDescent="0.25">
      <c r="A506" s="15">
        <v>7</v>
      </c>
      <c r="B506" s="15">
        <v>2</v>
      </c>
      <c r="D506" s="186" t="s">
        <v>248</v>
      </c>
      <c r="E506" s="24">
        <v>630</v>
      </c>
      <c r="F506" s="24" t="s">
        <v>129</v>
      </c>
      <c r="G506" s="45">
        <v>2837.9</v>
      </c>
      <c r="H506" s="45">
        <v>8699.9</v>
      </c>
      <c r="I506" s="45">
        <v>0</v>
      </c>
      <c r="J506" s="45">
        <v>9642</v>
      </c>
      <c r="K506" s="45">
        <v>0</v>
      </c>
      <c r="L506" s="45">
        <v>8415</v>
      </c>
      <c r="M506" s="45"/>
      <c r="N506" s="45"/>
      <c r="O506" s="45"/>
      <c r="P506" s="45">
        <f>K506+SUM(L506:O506)</f>
        <v>8415</v>
      </c>
      <c r="Q506" s="45">
        <v>8414.6</v>
      </c>
      <c r="R506" s="46">
        <f t="shared" si="251"/>
        <v>0.99995246583481878</v>
      </c>
      <c r="S506" s="45"/>
      <c r="T506" s="46">
        <f t="shared" si="252"/>
        <v>0</v>
      </c>
      <c r="U506" s="45"/>
      <c r="V506" s="46">
        <f t="shared" si="253"/>
        <v>0</v>
      </c>
      <c r="W506" s="45"/>
      <c r="X506" s="46">
        <f t="shared" si="254"/>
        <v>0</v>
      </c>
      <c r="Y506" s="25">
        <v>0</v>
      </c>
      <c r="Z506" s="25">
        <f>Y506</f>
        <v>0</v>
      </c>
    </row>
    <row r="507" spans="1:26" ht="13.9" customHeight="1" x14ac:dyDescent="0.25">
      <c r="A507" s="15">
        <v>7</v>
      </c>
      <c r="B507" s="15">
        <v>2</v>
      </c>
      <c r="D507" s="186"/>
      <c r="E507" s="24">
        <v>640</v>
      </c>
      <c r="F507" s="24" t="s">
        <v>130</v>
      </c>
      <c r="G507" s="45">
        <v>44860</v>
      </c>
      <c r="H507" s="45">
        <v>56034</v>
      </c>
      <c r="I507" s="45">
        <v>0</v>
      </c>
      <c r="J507" s="45">
        <v>11304</v>
      </c>
      <c r="K507" s="45">
        <v>0</v>
      </c>
      <c r="L507" s="45">
        <v>1620</v>
      </c>
      <c r="M507" s="45"/>
      <c r="N507" s="45"/>
      <c r="O507" s="45"/>
      <c r="P507" s="45">
        <f>K507+SUM(L507:O507)</f>
        <v>1620</v>
      </c>
      <c r="Q507" s="45">
        <v>1116</v>
      </c>
      <c r="R507" s="46">
        <f t="shared" si="251"/>
        <v>0.68888888888888888</v>
      </c>
      <c r="S507" s="45"/>
      <c r="T507" s="46">
        <f t="shared" si="252"/>
        <v>0</v>
      </c>
      <c r="U507" s="45"/>
      <c r="V507" s="46">
        <f t="shared" si="253"/>
        <v>0</v>
      </c>
      <c r="W507" s="45"/>
      <c r="X507" s="46">
        <f t="shared" si="254"/>
        <v>0</v>
      </c>
      <c r="Y507" s="25">
        <v>0</v>
      </c>
      <c r="Z507" s="25">
        <f>Y507</f>
        <v>0</v>
      </c>
    </row>
    <row r="508" spans="1:26" ht="13.9" customHeight="1" x14ac:dyDescent="0.25">
      <c r="A508" s="15">
        <v>7</v>
      </c>
      <c r="B508" s="15">
        <v>2</v>
      </c>
      <c r="D508" s="79" t="s">
        <v>21</v>
      </c>
      <c r="E508" s="47" t="s">
        <v>249</v>
      </c>
      <c r="F508" s="47" t="s">
        <v>132</v>
      </c>
      <c r="G508" s="48">
        <f t="shared" ref="G508:Q508" si="255">SUM(G505:G507)</f>
        <v>56907.199999999997</v>
      </c>
      <c r="H508" s="48">
        <f t="shared" si="255"/>
        <v>68218.899999999994</v>
      </c>
      <c r="I508" s="48">
        <f t="shared" si="255"/>
        <v>3600</v>
      </c>
      <c r="J508" s="48">
        <f t="shared" si="255"/>
        <v>24906</v>
      </c>
      <c r="K508" s="48">
        <f t="shared" si="255"/>
        <v>4320</v>
      </c>
      <c r="L508" s="48">
        <f t="shared" si="255"/>
        <v>10035</v>
      </c>
      <c r="M508" s="48">
        <f t="shared" si="255"/>
        <v>0</v>
      </c>
      <c r="N508" s="48">
        <f t="shared" si="255"/>
        <v>0</v>
      </c>
      <c r="O508" s="48">
        <f t="shared" si="255"/>
        <v>0</v>
      </c>
      <c r="P508" s="48">
        <f t="shared" si="255"/>
        <v>14355</v>
      </c>
      <c r="Q508" s="48">
        <f t="shared" si="255"/>
        <v>10425.6</v>
      </c>
      <c r="R508" s="49">
        <f t="shared" si="251"/>
        <v>0.72626959247648903</v>
      </c>
      <c r="S508" s="48">
        <f>SUM(S505:S507)</f>
        <v>0</v>
      </c>
      <c r="T508" s="49">
        <f t="shared" si="252"/>
        <v>0</v>
      </c>
      <c r="U508" s="48">
        <f>SUM(U505:U507)</f>
        <v>0</v>
      </c>
      <c r="V508" s="49">
        <f t="shared" si="253"/>
        <v>0</v>
      </c>
      <c r="W508" s="48">
        <f>SUM(W505:W507)</f>
        <v>0</v>
      </c>
      <c r="X508" s="49">
        <f t="shared" si="254"/>
        <v>0</v>
      </c>
      <c r="Y508" s="48">
        <f>SUM(Y505:Y507)</f>
        <v>4320</v>
      </c>
      <c r="Z508" s="48">
        <f>SUM(Z505:Z507)</f>
        <v>4320</v>
      </c>
    </row>
    <row r="509" spans="1:26" ht="13.9" customHeight="1" x14ac:dyDescent="0.25">
      <c r="A509" s="15">
        <v>7</v>
      </c>
      <c r="B509" s="15">
        <v>2</v>
      </c>
      <c r="D509" s="147" t="s">
        <v>247</v>
      </c>
      <c r="E509" s="24">
        <v>640</v>
      </c>
      <c r="F509" s="24" t="s">
        <v>130</v>
      </c>
      <c r="G509" s="25">
        <v>1800</v>
      </c>
      <c r="H509" s="25">
        <v>3300</v>
      </c>
      <c r="I509" s="25">
        <v>3000</v>
      </c>
      <c r="J509" s="25">
        <v>1100</v>
      </c>
      <c r="K509" s="25">
        <v>1500</v>
      </c>
      <c r="L509" s="25"/>
      <c r="M509" s="25"/>
      <c r="N509" s="25"/>
      <c r="O509" s="25"/>
      <c r="P509" s="25">
        <f>K509+SUM(L509:O509)</f>
        <v>1500</v>
      </c>
      <c r="Q509" s="25">
        <v>1100</v>
      </c>
      <c r="R509" s="26">
        <f t="shared" si="251"/>
        <v>0.73333333333333328</v>
      </c>
      <c r="S509" s="25"/>
      <c r="T509" s="26">
        <f t="shared" si="252"/>
        <v>0</v>
      </c>
      <c r="U509" s="25"/>
      <c r="V509" s="26">
        <f t="shared" si="253"/>
        <v>0</v>
      </c>
      <c r="W509" s="25"/>
      <c r="X509" s="26">
        <f t="shared" si="254"/>
        <v>0</v>
      </c>
      <c r="Y509" s="25">
        <f>K509</f>
        <v>1500</v>
      </c>
      <c r="Z509" s="25">
        <f>Y509</f>
        <v>1500</v>
      </c>
    </row>
    <row r="510" spans="1:26" ht="13.9" customHeight="1" x14ac:dyDescent="0.25">
      <c r="A510" s="15">
        <v>7</v>
      </c>
      <c r="B510" s="15">
        <v>2</v>
      </c>
      <c r="D510" s="79" t="s">
        <v>21</v>
      </c>
      <c r="E510" s="47">
        <v>41</v>
      </c>
      <c r="F510" s="47" t="s">
        <v>23</v>
      </c>
      <c r="G510" s="48">
        <f t="shared" ref="G510:Q510" si="256">SUM(G509)</f>
        <v>1800</v>
      </c>
      <c r="H510" s="48">
        <f t="shared" si="256"/>
        <v>3300</v>
      </c>
      <c r="I510" s="48">
        <f t="shared" si="256"/>
        <v>3000</v>
      </c>
      <c r="J510" s="48">
        <f t="shared" si="256"/>
        <v>1100</v>
      </c>
      <c r="K510" s="48">
        <f t="shared" si="256"/>
        <v>1500</v>
      </c>
      <c r="L510" s="48">
        <f t="shared" si="256"/>
        <v>0</v>
      </c>
      <c r="M510" s="48">
        <f t="shared" si="256"/>
        <v>0</v>
      </c>
      <c r="N510" s="48">
        <f t="shared" si="256"/>
        <v>0</v>
      </c>
      <c r="O510" s="48">
        <f t="shared" si="256"/>
        <v>0</v>
      </c>
      <c r="P510" s="48">
        <f t="shared" si="256"/>
        <v>1500</v>
      </c>
      <c r="Q510" s="48">
        <f t="shared" si="256"/>
        <v>1100</v>
      </c>
      <c r="R510" s="49">
        <f t="shared" si="251"/>
        <v>0.73333333333333328</v>
      </c>
      <c r="S510" s="48">
        <f>SUM(S509)</f>
        <v>0</v>
      </c>
      <c r="T510" s="49">
        <f t="shared" si="252"/>
        <v>0</v>
      </c>
      <c r="U510" s="48">
        <f>SUM(U509)</f>
        <v>0</v>
      </c>
      <c r="V510" s="49">
        <f t="shared" si="253"/>
        <v>0</v>
      </c>
      <c r="W510" s="48">
        <f>SUM(W509)</f>
        <v>0</v>
      </c>
      <c r="X510" s="49">
        <f t="shared" si="254"/>
        <v>0</v>
      </c>
      <c r="Y510" s="48">
        <f>SUM(Y509)</f>
        <v>1500</v>
      </c>
      <c r="Z510" s="48">
        <f>SUM(Z509)</f>
        <v>1500</v>
      </c>
    </row>
    <row r="511" spans="1:26" ht="13.9" customHeight="1" x14ac:dyDescent="0.25">
      <c r="A511" s="15">
        <v>7</v>
      </c>
      <c r="B511" s="15">
        <v>2</v>
      </c>
      <c r="D511" s="30"/>
      <c r="E511" s="31"/>
      <c r="F511" s="27" t="s">
        <v>122</v>
      </c>
      <c r="G511" s="28">
        <f t="shared" ref="G511:Q511" si="257">G508+G510</f>
        <v>58707.199999999997</v>
      </c>
      <c r="H511" s="28">
        <f t="shared" si="257"/>
        <v>71518.899999999994</v>
      </c>
      <c r="I511" s="28">
        <f t="shared" si="257"/>
        <v>6600</v>
      </c>
      <c r="J511" s="28">
        <f t="shared" si="257"/>
        <v>26006</v>
      </c>
      <c r="K511" s="28">
        <f t="shared" si="257"/>
        <v>5820</v>
      </c>
      <c r="L511" s="28">
        <f t="shared" si="257"/>
        <v>10035</v>
      </c>
      <c r="M511" s="28">
        <f t="shared" si="257"/>
        <v>0</v>
      </c>
      <c r="N511" s="28">
        <f t="shared" si="257"/>
        <v>0</v>
      </c>
      <c r="O511" s="28">
        <f t="shared" si="257"/>
        <v>0</v>
      </c>
      <c r="P511" s="28">
        <f t="shared" si="257"/>
        <v>15855</v>
      </c>
      <c r="Q511" s="28">
        <f t="shared" si="257"/>
        <v>11525.6</v>
      </c>
      <c r="R511" s="29">
        <f t="shared" si="251"/>
        <v>0.72693787448754343</v>
      </c>
      <c r="S511" s="28">
        <f>S508+S510</f>
        <v>0</v>
      </c>
      <c r="T511" s="29">
        <f t="shared" si="252"/>
        <v>0</v>
      </c>
      <c r="U511" s="28">
        <f>U508+U510</f>
        <v>0</v>
      </c>
      <c r="V511" s="29">
        <f t="shared" si="253"/>
        <v>0</v>
      </c>
      <c r="W511" s="28">
        <f>W508+W510</f>
        <v>0</v>
      </c>
      <c r="X511" s="29">
        <f t="shared" si="254"/>
        <v>0</v>
      </c>
      <c r="Y511" s="28">
        <f>Y508+Y510</f>
        <v>5820</v>
      </c>
      <c r="Z511" s="28">
        <f>Z508+Z510</f>
        <v>5820</v>
      </c>
    </row>
    <row r="513" spans="1:26" ht="13.9" customHeight="1" x14ac:dyDescent="0.25">
      <c r="E513" s="51" t="s">
        <v>55</v>
      </c>
      <c r="F513" s="30" t="s">
        <v>250</v>
      </c>
      <c r="G513" s="52">
        <v>1800</v>
      </c>
      <c r="H513" s="52">
        <v>3300</v>
      </c>
      <c r="I513" s="52">
        <v>3000</v>
      </c>
      <c r="J513" s="52">
        <v>1100</v>
      </c>
      <c r="K513" s="52">
        <v>1500</v>
      </c>
      <c r="L513" s="52"/>
      <c r="M513" s="52"/>
      <c r="N513" s="52"/>
      <c r="O513" s="52"/>
      <c r="P513" s="52">
        <f>K513+SUM(L513:O513)</f>
        <v>1500</v>
      </c>
      <c r="Q513" s="52">
        <v>1100</v>
      </c>
      <c r="R513" s="53">
        <f>IFERROR(Q513/$P513,0)</f>
        <v>0.73333333333333328</v>
      </c>
      <c r="S513" s="52"/>
      <c r="T513" s="53">
        <f>IFERROR(S513/$P513,0)</f>
        <v>0</v>
      </c>
      <c r="U513" s="52"/>
      <c r="V513" s="53">
        <f>IFERROR(U513/$P513,0)</f>
        <v>0</v>
      </c>
      <c r="W513" s="52"/>
      <c r="X513" s="54">
        <f>IFERROR(W513/$P513,0)</f>
        <v>0</v>
      </c>
      <c r="Y513" s="52">
        <f>K513</f>
        <v>1500</v>
      </c>
      <c r="Z513" s="55">
        <f>Y513</f>
        <v>1500</v>
      </c>
    </row>
    <row r="514" spans="1:26" ht="13.9" customHeight="1" x14ac:dyDescent="0.25">
      <c r="E514" s="56"/>
      <c r="F514" s="92" t="s">
        <v>77</v>
      </c>
      <c r="G514" s="95">
        <v>9209.2999999999993</v>
      </c>
      <c r="H514" s="95">
        <v>3485</v>
      </c>
      <c r="I514" s="95">
        <v>3600</v>
      </c>
      <c r="J514" s="95">
        <v>3960</v>
      </c>
      <c r="K514" s="95">
        <v>4320</v>
      </c>
      <c r="L514" s="95"/>
      <c r="M514" s="95"/>
      <c r="N514" s="95"/>
      <c r="O514" s="95"/>
      <c r="P514" s="95">
        <f>K514+SUM(L514:O514)</f>
        <v>4320</v>
      </c>
      <c r="Q514" s="95">
        <v>895</v>
      </c>
      <c r="R514" s="96">
        <f>IFERROR(Q514/$P514,0)</f>
        <v>0.20717592592592593</v>
      </c>
      <c r="S514" s="95"/>
      <c r="T514" s="96">
        <f>IFERROR(S514/$P514,0)</f>
        <v>0</v>
      </c>
      <c r="U514" s="95"/>
      <c r="V514" s="96">
        <f>IFERROR(U514/$P514,0)</f>
        <v>0</v>
      </c>
      <c r="W514" s="95"/>
      <c r="X514" s="59">
        <f>IFERROR(W514/$P514,0)</f>
        <v>0</v>
      </c>
      <c r="Y514" s="95">
        <f>K514</f>
        <v>4320</v>
      </c>
      <c r="Z514" s="60">
        <f>Y514</f>
        <v>4320</v>
      </c>
    </row>
    <row r="515" spans="1:26" ht="13.9" customHeight="1" x14ac:dyDescent="0.25">
      <c r="E515" s="56"/>
      <c r="F515" s="92" t="s">
        <v>251</v>
      </c>
      <c r="G515" s="95">
        <v>2837.9</v>
      </c>
      <c r="H515" s="95">
        <v>8699.9</v>
      </c>
      <c r="I515" s="95">
        <v>0</v>
      </c>
      <c r="J515" s="95">
        <v>9642</v>
      </c>
      <c r="K515" s="95">
        <v>0</v>
      </c>
      <c r="L515" s="95">
        <v>8415</v>
      </c>
      <c r="M515" s="95"/>
      <c r="N515" s="95"/>
      <c r="O515" s="95"/>
      <c r="P515" s="95">
        <f>K515+SUM(L515:O515)</f>
        <v>8415</v>
      </c>
      <c r="Q515" s="95">
        <v>8414.6</v>
      </c>
      <c r="R515" s="96">
        <f>IFERROR(Q515/$P515,0)</f>
        <v>0.99995246583481878</v>
      </c>
      <c r="S515" s="95"/>
      <c r="T515" s="96">
        <f>IFERROR(S515/$P515,0)</f>
        <v>0</v>
      </c>
      <c r="U515" s="95"/>
      <c r="V515" s="96">
        <f>IFERROR(U515/$P515,0)</f>
        <v>0</v>
      </c>
      <c r="W515" s="95"/>
      <c r="X515" s="59">
        <f>IFERROR(W515/$P515,0)</f>
        <v>0</v>
      </c>
      <c r="Y515" s="95">
        <f>K515</f>
        <v>0</v>
      </c>
      <c r="Z515" s="60">
        <f>Y515</f>
        <v>0</v>
      </c>
    </row>
    <row r="516" spans="1:26" ht="13.9" customHeight="1" x14ac:dyDescent="0.25">
      <c r="E516" s="64"/>
      <c r="F516" s="97" t="s">
        <v>82</v>
      </c>
      <c r="G516" s="66">
        <v>44860</v>
      </c>
      <c r="H516" s="66">
        <v>56034</v>
      </c>
      <c r="I516" s="66">
        <v>0</v>
      </c>
      <c r="J516" s="66">
        <v>11304</v>
      </c>
      <c r="K516" s="66">
        <v>0</v>
      </c>
      <c r="L516" s="66">
        <v>1620</v>
      </c>
      <c r="M516" s="66"/>
      <c r="N516" s="66"/>
      <c r="O516" s="66"/>
      <c r="P516" s="66">
        <f>K516+SUM(L516:O516)</f>
        <v>1620</v>
      </c>
      <c r="Q516" s="66">
        <v>1116</v>
      </c>
      <c r="R516" s="67">
        <f>IFERROR(Q516/$P516,0)</f>
        <v>0.68888888888888888</v>
      </c>
      <c r="S516" s="66"/>
      <c r="T516" s="67">
        <f>IFERROR(S516/$P516,0)</f>
        <v>0</v>
      </c>
      <c r="U516" s="66"/>
      <c r="V516" s="67">
        <f>IFERROR(U516/$P516,0)</f>
        <v>0</v>
      </c>
      <c r="W516" s="66"/>
      <c r="X516" s="68">
        <f>IFERROR(W516/$P516,0)</f>
        <v>0</v>
      </c>
      <c r="Y516" s="66">
        <f>K516</f>
        <v>0</v>
      </c>
      <c r="Z516" s="69">
        <f>Y516</f>
        <v>0</v>
      </c>
    </row>
    <row r="518" spans="1:26" ht="13.9" customHeight="1" x14ac:dyDescent="0.25">
      <c r="D518" s="32" t="s">
        <v>252</v>
      </c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3"/>
      <c r="S518" s="32"/>
      <c r="T518" s="33"/>
      <c r="U518" s="32"/>
      <c r="V518" s="33"/>
      <c r="W518" s="32"/>
      <c r="X518" s="33"/>
      <c r="Y518" s="32"/>
      <c r="Z518" s="32"/>
    </row>
    <row r="519" spans="1:26" ht="13.9" customHeight="1" x14ac:dyDescent="0.25">
      <c r="D519" s="20"/>
      <c r="E519" s="20"/>
      <c r="F519" s="20"/>
      <c r="G519" s="21" t="s">
        <v>1</v>
      </c>
      <c r="H519" s="21" t="s">
        <v>2</v>
      </c>
      <c r="I519" s="21" t="s">
        <v>3</v>
      </c>
      <c r="J519" s="21" t="s">
        <v>4</v>
      </c>
      <c r="K519" s="21" t="s">
        <v>5</v>
      </c>
      <c r="L519" s="21" t="s">
        <v>6</v>
      </c>
      <c r="M519" s="21" t="s">
        <v>7</v>
      </c>
      <c r="N519" s="21" t="s">
        <v>8</v>
      </c>
      <c r="O519" s="21" t="s">
        <v>9</v>
      </c>
      <c r="P519" s="21" t="s">
        <v>10</v>
      </c>
      <c r="Q519" s="21" t="s">
        <v>11</v>
      </c>
      <c r="R519" s="22" t="s">
        <v>12</v>
      </c>
      <c r="S519" s="21" t="s">
        <v>13</v>
      </c>
      <c r="T519" s="22" t="s">
        <v>14</v>
      </c>
      <c r="U519" s="21" t="s">
        <v>15</v>
      </c>
      <c r="V519" s="22" t="s">
        <v>16</v>
      </c>
      <c r="W519" s="21" t="s">
        <v>17</v>
      </c>
      <c r="X519" s="22" t="s">
        <v>18</v>
      </c>
      <c r="Y519" s="21" t="s">
        <v>19</v>
      </c>
      <c r="Z519" s="21" t="s">
        <v>20</v>
      </c>
    </row>
    <row r="520" spans="1:26" ht="13.9" customHeight="1" x14ac:dyDescent="0.25">
      <c r="A520" s="15">
        <v>8</v>
      </c>
      <c r="D520" s="12" t="s">
        <v>21</v>
      </c>
      <c r="E520" s="35">
        <v>111</v>
      </c>
      <c r="F520" s="35" t="s">
        <v>45</v>
      </c>
      <c r="G520" s="36">
        <f t="shared" ref="G520:Q520" si="258">G535+G549+G560+G573+G589+G603</f>
        <v>150933.32999999999</v>
      </c>
      <c r="H520" s="36">
        <f t="shared" si="258"/>
        <v>199376</v>
      </c>
      <c r="I520" s="36">
        <f t="shared" si="258"/>
        <v>998572</v>
      </c>
      <c r="J520" s="36">
        <f t="shared" si="258"/>
        <v>553872</v>
      </c>
      <c r="K520" s="36">
        <f t="shared" si="258"/>
        <v>2819430</v>
      </c>
      <c r="L520" s="36">
        <f t="shared" si="258"/>
        <v>138108</v>
      </c>
      <c r="M520" s="36">
        <f t="shared" si="258"/>
        <v>0</v>
      </c>
      <c r="N520" s="36">
        <f t="shared" si="258"/>
        <v>0</v>
      </c>
      <c r="O520" s="36">
        <f t="shared" si="258"/>
        <v>0</v>
      </c>
      <c r="P520" s="36">
        <f t="shared" si="258"/>
        <v>2957538</v>
      </c>
      <c r="Q520" s="36">
        <f t="shared" si="258"/>
        <v>0</v>
      </c>
      <c r="R520" s="37">
        <f>IFERROR(Q520/$P520,0)</f>
        <v>0</v>
      </c>
      <c r="S520" s="36">
        <f>S535+S549+S560+S573+S589+S603</f>
        <v>0</v>
      </c>
      <c r="T520" s="37">
        <f>IFERROR(S520/$P520,0)</f>
        <v>0</v>
      </c>
      <c r="U520" s="36">
        <f>U535+U549+U560+U573+U589+U603</f>
        <v>0</v>
      </c>
      <c r="V520" s="37">
        <f>IFERROR(U520/$P520,0)</f>
        <v>0</v>
      </c>
      <c r="W520" s="36">
        <f>W535+W549+W560+W573+W589+W603</f>
        <v>0</v>
      </c>
      <c r="X520" s="37">
        <f>IFERROR(W520/$P520,0)</f>
        <v>0</v>
      </c>
      <c r="Y520" s="36">
        <f>Y535+Y549+Y560+Y573+Y589+Y603</f>
        <v>0</v>
      </c>
      <c r="Z520" s="36">
        <f>Z535+Z549+Z560+Z573+Z589+Z603</f>
        <v>0</v>
      </c>
    </row>
    <row r="521" spans="1:26" ht="13.9" customHeight="1" x14ac:dyDescent="0.25">
      <c r="A521" s="15">
        <v>8</v>
      </c>
      <c r="D521" s="12"/>
      <c r="E521" s="35">
        <v>41</v>
      </c>
      <c r="F521" s="35" t="s">
        <v>23</v>
      </c>
      <c r="G521" s="36">
        <f t="shared" ref="G521:Q521" si="259">G527+G536+G550+G561+G574+G590+G604+G613</f>
        <v>614423.27</v>
      </c>
      <c r="H521" s="36">
        <f t="shared" si="259"/>
        <v>380343.20999999996</v>
      </c>
      <c r="I521" s="36">
        <f t="shared" si="259"/>
        <v>666456</v>
      </c>
      <c r="J521" s="36">
        <f t="shared" si="259"/>
        <v>493713</v>
      </c>
      <c r="K521" s="36">
        <f t="shared" si="259"/>
        <v>939275</v>
      </c>
      <c r="L521" s="36">
        <f t="shared" si="259"/>
        <v>0</v>
      </c>
      <c r="M521" s="36">
        <f t="shared" si="259"/>
        <v>0</v>
      </c>
      <c r="N521" s="36">
        <f t="shared" si="259"/>
        <v>0</v>
      </c>
      <c r="O521" s="36">
        <f t="shared" si="259"/>
        <v>0</v>
      </c>
      <c r="P521" s="36">
        <f t="shared" si="259"/>
        <v>939275</v>
      </c>
      <c r="Q521" s="36">
        <f t="shared" si="259"/>
        <v>7166.5</v>
      </c>
      <c r="R521" s="37">
        <f>IFERROR(Q521/$P521,0)</f>
        <v>7.629820872481435E-3</v>
      </c>
      <c r="S521" s="36">
        <f>S527+S536+S550+S561+S574+S590+S604+S613</f>
        <v>0</v>
      </c>
      <c r="T521" s="37">
        <f>IFERROR(S521/$P521,0)</f>
        <v>0</v>
      </c>
      <c r="U521" s="36">
        <f>U527+U536+U550+U561+U574+U590+U604+U613</f>
        <v>0</v>
      </c>
      <c r="V521" s="37">
        <f>IFERROR(U521/$P521,0)</f>
        <v>0</v>
      </c>
      <c r="W521" s="36">
        <f>W527+W536+W550+W561+W574+W590+W604+W613</f>
        <v>0</v>
      </c>
      <c r="X521" s="37">
        <f>IFERROR(W521/$P521,0)</f>
        <v>0</v>
      </c>
      <c r="Y521" s="36">
        <f>Y527+Y536+Y550+Y561+Y574+Y590+Y604+Y613</f>
        <v>659546</v>
      </c>
      <c r="Z521" s="36">
        <f>Z527+Z536+Z550+Z561+Z574+Z590+Z604+Z613</f>
        <v>687381</v>
      </c>
    </row>
    <row r="522" spans="1:26" ht="13.9" customHeight="1" x14ac:dyDescent="0.25">
      <c r="A522" s="15">
        <v>8</v>
      </c>
      <c r="D522" s="12"/>
      <c r="E522" s="35">
        <v>71</v>
      </c>
      <c r="F522" s="35" t="s">
        <v>24</v>
      </c>
      <c r="G522" s="36">
        <f t="shared" ref="G522:Q522" si="260">G591</f>
        <v>0</v>
      </c>
      <c r="H522" s="36">
        <f t="shared" si="260"/>
        <v>0</v>
      </c>
      <c r="I522" s="36">
        <f t="shared" si="260"/>
        <v>6000</v>
      </c>
      <c r="J522" s="36">
        <f t="shared" si="260"/>
        <v>6000</v>
      </c>
      <c r="K522" s="36">
        <f t="shared" si="260"/>
        <v>0</v>
      </c>
      <c r="L522" s="36">
        <f t="shared" si="260"/>
        <v>0</v>
      </c>
      <c r="M522" s="36">
        <f t="shared" si="260"/>
        <v>0</v>
      </c>
      <c r="N522" s="36">
        <f t="shared" si="260"/>
        <v>0</v>
      </c>
      <c r="O522" s="36">
        <f t="shared" si="260"/>
        <v>0</v>
      </c>
      <c r="P522" s="36">
        <f t="shared" si="260"/>
        <v>0</v>
      </c>
      <c r="Q522" s="36">
        <f t="shared" si="260"/>
        <v>0</v>
      </c>
      <c r="R522" s="37">
        <f>IFERROR(Q522/$P522,0)</f>
        <v>0</v>
      </c>
      <c r="S522" s="36">
        <f>S591</f>
        <v>0</v>
      </c>
      <c r="T522" s="37">
        <f>IFERROR(S522/$P522,0)</f>
        <v>0</v>
      </c>
      <c r="U522" s="36">
        <f>U591</f>
        <v>0</v>
      </c>
      <c r="V522" s="37">
        <f>IFERROR(U522/$P522,0)</f>
        <v>0</v>
      </c>
      <c r="W522" s="36">
        <f>W591</f>
        <v>0</v>
      </c>
      <c r="X522" s="37">
        <f>IFERROR(W522/$P522,0)</f>
        <v>0</v>
      </c>
      <c r="Y522" s="36">
        <f>Y591</f>
        <v>0</v>
      </c>
      <c r="Z522" s="36">
        <f>Z591</f>
        <v>0</v>
      </c>
    </row>
    <row r="523" spans="1:26" ht="13.9" customHeight="1" x14ac:dyDescent="0.25">
      <c r="A523" s="15">
        <v>8</v>
      </c>
      <c r="D523" s="30"/>
      <c r="E523" s="31"/>
      <c r="F523" s="38" t="s">
        <v>122</v>
      </c>
      <c r="G523" s="39">
        <f t="shared" ref="G523:Q523" si="261">SUM(G520:G522)</f>
        <v>765356.6</v>
      </c>
      <c r="H523" s="39">
        <f t="shared" si="261"/>
        <v>579719.21</v>
      </c>
      <c r="I523" s="39">
        <f t="shared" si="261"/>
        <v>1671028</v>
      </c>
      <c r="J523" s="39">
        <f t="shared" si="261"/>
        <v>1053585</v>
      </c>
      <c r="K523" s="39">
        <f t="shared" si="261"/>
        <v>3758705</v>
      </c>
      <c r="L523" s="39">
        <f t="shared" si="261"/>
        <v>138108</v>
      </c>
      <c r="M523" s="39">
        <f t="shared" si="261"/>
        <v>0</v>
      </c>
      <c r="N523" s="39">
        <f t="shared" si="261"/>
        <v>0</v>
      </c>
      <c r="O523" s="39">
        <f t="shared" si="261"/>
        <v>0</v>
      </c>
      <c r="P523" s="39">
        <f t="shared" si="261"/>
        <v>3896813</v>
      </c>
      <c r="Q523" s="39">
        <f t="shared" si="261"/>
        <v>7166.5</v>
      </c>
      <c r="R523" s="40">
        <f>IFERROR(Q523/$P523,0)</f>
        <v>1.8390669503514795E-3</v>
      </c>
      <c r="S523" s="39">
        <f>SUM(S520:S522)</f>
        <v>0</v>
      </c>
      <c r="T523" s="40">
        <f>IFERROR(S523/$P523,0)</f>
        <v>0</v>
      </c>
      <c r="U523" s="39">
        <f>SUM(U520:U522)</f>
        <v>0</v>
      </c>
      <c r="V523" s="40">
        <f>IFERROR(U523/$P523,0)</f>
        <v>0</v>
      </c>
      <c r="W523" s="39">
        <f>SUM(W520:W522)</f>
        <v>0</v>
      </c>
      <c r="X523" s="40">
        <f>IFERROR(W523/$P523,0)</f>
        <v>0</v>
      </c>
      <c r="Y523" s="39">
        <f>SUM(Y520:Y522)</f>
        <v>659546</v>
      </c>
      <c r="Z523" s="39">
        <f>SUM(Z520:Z522)</f>
        <v>687381</v>
      </c>
    </row>
    <row r="525" spans="1:26" ht="13.9" customHeight="1" x14ac:dyDescent="0.25">
      <c r="D525" s="41" t="s">
        <v>253</v>
      </c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2"/>
      <c r="S525" s="41"/>
      <c r="T525" s="42"/>
      <c r="U525" s="41"/>
      <c r="V525" s="42"/>
      <c r="W525" s="41"/>
      <c r="X525" s="42"/>
      <c r="Y525" s="41"/>
      <c r="Z525" s="41"/>
    </row>
    <row r="526" spans="1:26" ht="13.9" customHeight="1" x14ac:dyDescent="0.25">
      <c r="D526" s="148"/>
      <c r="E526" s="21"/>
      <c r="F526" s="21"/>
      <c r="G526" s="21" t="s">
        <v>1</v>
      </c>
      <c r="H526" s="21" t="s">
        <v>2</v>
      </c>
      <c r="I526" s="21" t="s">
        <v>3</v>
      </c>
      <c r="J526" s="21" t="s">
        <v>4</v>
      </c>
      <c r="K526" s="21" t="s">
        <v>5</v>
      </c>
      <c r="L526" s="21" t="s">
        <v>6</v>
      </c>
      <c r="M526" s="21" t="s">
        <v>7</v>
      </c>
      <c r="N526" s="21" t="s">
        <v>8</v>
      </c>
      <c r="O526" s="21" t="s">
        <v>9</v>
      </c>
      <c r="P526" s="21" t="s">
        <v>10</v>
      </c>
      <c r="Q526" s="21" t="s">
        <v>11</v>
      </c>
      <c r="R526" s="22" t="s">
        <v>12</v>
      </c>
      <c r="S526" s="21" t="s">
        <v>13</v>
      </c>
      <c r="T526" s="22" t="s">
        <v>14</v>
      </c>
      <c r="U526" s="21" t="s">
        <v>15</v>
      </c>
      <c r="V526" s="22" t="s">
        <v>16</v>
      </c>
      <c r="W526" s="21" t="s">
        <v>17</v>
      </c>
      <c r="X526" s="22" t="s">
        <v>18</v>
      </c>
      <c r="Y526" s="21" t="s">
        <v>19</v>
      </c>
      <c r="Z526" s="21" t="s">
        <v>20</v>
      </c>
    </row>
    <row r="527" spans="1:26" ht="13.9" customHeight="1" x14ac:dyDescent="0.25">
      <c r="A527" s="15">
        <v>8</v>
      </c>
      <c r="B527" s="15">
        <v>1</v>
      </c>
      <c r="D527" s="43" t="s">
        <v>21</v>
      </c>
      <c r="E527" s="24">
        <v>41</v>
      </c>
      <c r="F527" s="24" t="s">
        <v>23</v>
      </c>
      <c r="G527" s="25">
        <f t="shared" ref="G527:Q527" si="262">SUM(G531)</f>
        <v>0</v>
      </c>
      <c r="H527" s="25">
        <f t="shared" si="262"/>
        <v>0</v>
      </c>
      <c r="I527" s="25">
        <f t="shared" si="262"/>
        <v>0</v>
      </c>
      <c r="J527" s="25">
        <f t="shared" si="262"/>
        <v>1378</v>
      </c>
      <c r="K527" s="25">
        <f t="shared" si="262"/>
        <v>0</v>
      </c>
      <c r="L527" s="25">
        <f t="shared" si="262"/>
        <v>0</v>
      </c>
      <c r="M527" s="25">
        <f t="shared" si="262"/>
        <v>0</v>
      </c>
      <c r="N527" s="25">
        <f t="shared" si="262"/>
        <v>0</v>
      </c>
      <c r="O527" s="25">
        <f t="shared" si="262"/>
        <v>0</v>
      </c>
      <c r="P527" s="25">
        <f t="shared" si="262"/>
        <v>0</v>
      </c>
      <c r="Q527" s="25">
        <f t="shared" si="262"/>
        <v>0</v>
      </c>
      <c r="R527" s="26">
        <f>IFERROR(Q527/$P527,0)</f>
        <v>0</v>
      </c>
      <c r="S527" s="25">
        <f>SUM(S531)</f>
        <v>0</v>
      </c>
      <c r="T527" s="26">
        <f>IFERROR(S527/$P527,0)</f>
        <v>0</v>
      </c>
      <c r="U527" s="25">
        <f>SUM(U531)</f>
        <v>0</v>
      </c>
      <c r="V527" s="26">
        <f>IFERROR(U527/$P527,0)</f>
        <v>0</v>
      </c>
      <c r="W527" s="25">
        <f>SUM(W531)</f>
        <v>0</v>
      </c>
      <c r="X527" s="26">
        <f>IFERROR(W527/$P527,0)</f>
        <v>0</v>
      </c>
      <c r="Y527" s="25">
        <f>SUM(Y531)</f>
        <v>0</v>
      </c>
      <c r="Z527" s="25">
        <f>SUM(Z531)</f>
        <v>0</v>
      </c>
    </row>
    <row r="528" spans="1:26" ht="13.9" customHeight="1" x14ac:dyDescent="0.25">
      <c r="A528" s="15">
        <v>8</v>
      </c>
      <c r="B528" s="15">
        <v>1</v>
      </c>
      <c r="D528" s="30"/>
      <c r="E528" s="31"/>
      <c r="F528" s="27" t="s">
        <v>122</v>
      </c>
      <c r="G528" s="28">
        <f t="shared" ref="G528:Q528" si="263">SUM(G527)</f>
        <v>0</v>
      </c>
      <c r="H528" s="28">
        <f t="shared" si="263"/>
        <v>0</v>
      </c>
      <c r="I528" s="28">
        <f t="shared" si="263"/>
        <v>0</v>
      </c>
      <c r="J528" s="28">
        <f t="shared" si="263"/>
        <v>1378</v>
      </c>
      <c r="K528" s="28">
        <f t="shared" si="263"/>
        <v>0</v>
      </c>
      <c r="L528" s="28">
        <f t="shared" si="263"/>
        <v>0</v>
      </c>
      <c r="M528" s="28">
        <f t="shared" si="263"/>
        <v>0</v>
      </c>
      <c r="N528" s="28">
        <f t="shared" si="263"/>
        <v>0</v>
      </c>
      <c r="O528" s="28">
        <f t="shared" si="263"/>
        <v>0</v>
      </c>
      <c r="P528" s="28">
        <f t="shared" si="263"/>
        <v>0</v>
      </c>
      <c r="Q528" s="28">
        <f t="shared" si="263"/>
        <v>0</v>
      </c>
      <c r="R528" s="29">
        <f>IFERROR(Q528/$P528,0)</f>
        <v>0</v>
      </c>
      <c r="S528" s="28">
        <f>SUM(S527)</f>
        <v>0</v>
      </c>
      <c r="T528" s="29">
        <f>IFERROR(S528/$P528,0)</f>
        <v>0</v>
      </c>
      <c r="U528" s="28">
        <f>SUM(U527)</f>
        <v>0</v>
      </c>
      <c r="V528" s="29">
        <f>IFERROR(U528/$P528,0)</f>
        <v>0</v>
      </c>
      <c r="W528" s="28">
        <f>SUM(W527)</f>
        <v>0</v>
      </c>
      <c r="X528" s="29">
        <f>IFERROR(W528/$P528,0)</f>
        <v>0</v>
      </c>
      <c r="Y528" s="28">
        <f>SUM(Y527)</f>
        <v>0</v>
      </c>
      <c r="Z528" s="28">
        <f>SUM(Z527)</f>
        <v>0</v>
      </c>
    </row>
    <row r="530" spans="1:26" ht="13.9" hidden="1" customHeight="1" x14ac:dyDescent="0.25">
      <c r="D530" s="15" t="s">
        <v>55</v>
      </c>
    </row>
    <row r="531" spans="1:26" ht="13.9" hidden="1" customHeight="1" x14ac:dyDescent="0.25">
      <c r="D531" s="43" t="s">
        <v>254</v>
      </c>
      <c r="E531" s="117" t="s">
        <v>255</v>
      </c>
      <c r="F531" s="128"/>
      <c r="G531" s="129"/>
      <c r="H531" s="129"/>
      <c r="I531" s="129"/>
      <c r="J531" s="129">
        <v>1378</v>
      </c>
      <c r="K531" s="129">
        <v>0</v>
      </c>
      <c r="L531" s="129"/>
      <c r="M531" s="129"/>
      <c r="N531" s="129"/>
      <c r="O531" s="129"/>
      <c r="P531" s="129">
        <f>K531+SUM(L531:O531)</f>
        <v>0</v>
      </c>
      <c r="Q531" s="129">
        <v>0</v>
      </c>
      <c r="R531" s="130">
        <f>IFERROR(Q531/$P531,0)</f>
        <v>0</v>
      </c>
      <c r="S531" s="129"/>
      <c r="T531" s="130">
        <f>IFERROR(S531/$P531,0)</f>
        <v>0</v>
      </c>
      <c r="U531" s="129"/>
      <c r="V531" s="130">
        <f>IFERROR(U531/$P531,0)</f>
        <v>0</v>
      </c>
      <c r="W531" s="129"/>
      <c r="X531" s="131">
        <f>IFERROR(W531/$P531,0)</f>
        <v>0</v>
      </c>
      <c r="Y531" s="129">
        <v>0</v>
      </c>
      <c r="Z531" s="132">
        <v>0</v>
      </c>
    </row>
    <row r="532" spans="1:26" ht="13.9" hidden="1" customHeight="1" x14ac:dyDescent="0.25"/>
    <row r="533" spans="1:26" ht="13.9" customHeight="1" x14ac:dyDescent="0.25">
      <c r="D533" s="41" t="s">
        <v>256</v>
      </c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2"/>
      <c r="S533" s="41"/>
      <c r="T533" s="42"/>
      <c r="U533" s="41"/>
      <c r="V533" s="42"/>
      <c r="W533" s="41"/>
      <c r="X533" s="42"/>
      <c r="Y533" s="41"/>
      <c r="Z533" s="41"/>
    </row>
    <row r="534" spans="1:26" ht="13.9" customHeight="1" x14ac:dyDescent="0.25">
      <c r="D534" s="148"/>
      <c r="E534" s="21"/>
      <c r="F534" s="21"/>
      <c r="G534" s="21" t="s">
        <v>1</v>
      </c>
      <c r="H534" s="21" t="s">
        <v>2</v>
      </c>
      <c r="I534" s="21" t="s">
        <v>3</v>
      </c>
      <c r="J534" s="21" t="s">
        <v>4</v>
      </c>
      <c r="K534" s="21" t="s">
        <v>5</v>
      </c>
      <c r="L534" s="21" t="s">
        <v>6</v>
      </c>
      <c r="M534" s="21" t="s">
        <v>7</v>
      </c>
      <c r="N534" s="21" t="s">
        <v>8</v>
      </c>
      <c r="O534" s="21" t="s">
        <v>9</v>
      </c>
      <c r="P534" s="21" t="s">
        <v>10</v>
      </c>
      <c r="Q534" s="21" t="s">
        <v>11</v>
      </c>
      <c r="R534" s="22" t="s">
        <v>12</v>
      </c>
      <c r="S534" s="21" t="s">
        <v>13</v>
      </c>
      <c r="T534" s="22" t="s">
        <v>14</v>
      </c>
      <c r="U534" s="21" t="s">
        <v>15</v>
      </c>
      <c r="V534" s="22" t="s">
        <v>16</v>
      </c>
      <c r="W534" s="21" t="s">
        <v>17</v>
      </c>
      <c r="X534" s="22" t="s">
        <v>18</v>
      </c>
      <c r="Y534" s="21" t="s">
        <v>19</v>
      </c>
      <c r="Z534" s="21" t="s">
        <v>20</v>
      </c>
    </row>
    <row r="535" spans="1:26" ht="13.9" customHeight="1" x14ac:dyDescent="0.25">
      <c r="A535" s="15">
        <v>8</v>
      </c>
      <c r="B535" s="15">
        <v>2</v>
      </c>
      <c r="D535" s="187" t="s">
        <v>21</v>
      </c>
      <c r="E535" s="24">
        <v>111</v>
      </c>
      <c r="F535" s="24" t="s">
        <v>132</v>
      </c>
      <c r="G535" s="25">
        <v>0</v>
      </c>
      <c r="H535" s="25">
        <v>199376</v>
      </c>
      <c r="I535" s="25">
        <v>138109</v>
      </c>
      <c r="J535" s="25">
        <v>14000</v>
      </c>
      <c r="K535" s="25">
        <v>0</v>
      </c>
      <c r="L535" s="25">
        <v>138108</v>
      </c>
      <c r="M535" s="25"/>
      <c r="N535" s="25"/>
      <c r="O535" s="25"/>
      <c r="P535" s="25">
        <f>K535+SUM(L535:O535)</f>
        <v>138108</v>
      </c>
      <c r="Q535" s="25">
        <v>0</v>
      </c>
      <c r="R535" s="26">
        <f>IFERROR(Q535/$P535,0)</f>
        <v>0</v>
      </c>
      <c r="S535" s="25">
        <v>0</v>
      </c>
      <c r="T535" s="26">
        <f>IFERROR(S535/$P535,0)</f>
        <v>0</v>
      </c>
      <c r="U535" s="25">
        <v>0</v>
      </c>
      <c r="V535" s="26">
        <f>IFERROR(U535/$P535,0)</f>
        <v>0</v>
      </c>
      <c r="W535" s="25">
        <v>0</v>
      </c>
      <c r="X535" s="26">
        <f>IFERROR(W535/$P535,0)</f>
        <v>0</v>
      </c>
      <c r="Y535" s="25">
        <v>0</v>
      </c>
      <c r="Z535" s="25">
        <v>0</v>
      </c>
    </row>
    <row r="536" spans="1:26" ht="13.9" customHeight="1" x14ac:dyDescent="0.25">
      <c r="A536" s="15">
        <v>8</v>
      </c>
      <c r="B536" s="15">
        <v>2</v>
      </c>
      <c r="D536" s="187" t="s">
        <v>21</v>
      </c>
      <c r="E536" s="24">
        <v>41</v>
      </c>
      <c r="F536" s="24" t="s">
        <v>23</v>
      </c>
      <c r="G536" s="25">
        <f t="shared" ref="G536:Q536" si="264">SUM(G540:G545)-G535</f>
        <v>96423.43</v>
      </c>
      <c r="H536" s="25">
        <f t="shared" si="264"/>
        <v>20436.72</v>
      </c>
      <c r="I536" s="25">
        <f t="shared" si="264"/>
        <v>0</v>
      </c>
      <c r="J536" s="25">
        <f t="shared" si="264"/>
        <v>0</v>
      </c>
      <c r="K536" s="25">
        <f t="shared" si="264"/>
        <v>0</v>
      </c>
      <c r="L536" s="25">
        <f t="shared" si="264"/>
        <v>0</v>
      </c>
      <c r="M536" s="25">
        <f t="shared" si="264"/>
        <v>0</v>
      </c>
      <c r="N536" s="25">
        <f t="shared" si="264"/>
        <v>0</v>
      </c>
      <c r="O536" s="25">
        <f t="shared" si="264"/>
        <v>0</v>
      </c>
      <c r="P536" s="25">
        <f t="shared" si="264"/>
        <v>0</v>
      </c>
      <c r="Q536" s="25">
        <f t="shared" si="264"/>
        <v>0</v>
      </c>
      <c r="R536" s="26">
        <f>IFERROR(Q536/$P536,0)</f>
        <v>0</v>
      </c>
      <c r="S536" s="25">
        <f>SUM(S540:S545)-S535</f>
        <v>0</v>
      </c>
      <c r="T536" s="26">
        <f>IFERROR(S536/$P536,0)</f>
        <v>0</v>
      </c>
      <c r="U536" s="25">
        <f>SUM(U540:U545)-U535</f>
        <v>0</v>
      </c>
      <c r="V536" s="26">
        <f>IFERROR(U536/$P536,0)</f>
        <v>0</v>
      </c>
      <c r="W536" s="25">
        <f>SUM(W540:W545)-W535</f>
        <v>0</v>
      </c>
      <c r="X536" s="26">
        <f>IFERROR(W536/$P536,0)</f>
        <v>0</v>
      </c>
      <c r="Y536" s="25">
        <f>SUM(Y540:Y545)-Y535</f>
        <v>0</v>
      </c>
      <c r="Z536" s="25">
        <f>SUM(Z540:Z545)-Z535</f>
        <v>0</v>
      </c>
    </row>
    <row r="537" spans="1:26" ht="13.9" customHeight="1" x14ac:dyDescent="0.25">
      <c r="A537" s="15">
        <v>8</v>
      </c>
      <c r="B537" s="15">
        <v>2</v>
      </c>
      <c r="D537" s="30"/>
      <c r="E537" s="31"/>
      <c r="F537" s="27" t="s">
        <v>122</v>
      </c>
      <c r="G537" s="28">
        <f t="shared" ref="G537:Q537" si="265">SUM(G535:G536)</f>
        <v>96423.43</v>
      </c>
      <c r="H537" s="28">
        <f t="shared" si="265"/>
        <v>219812.72</v>
      </c>
      <c r="I537" s="28">
        <f t="shared" si="265"/>
        <v>138109</v>
      </c>
      <c r="J537" s="28">
        <f t="shared" si="265"/>
        <v>14000</v>
      </c>
      <c r="K537" s="28">
        <f t="shared" si="265"/>
        <v>0</v>
      </c>
      <c r="L537" s="28">
        <f t="shared" si="265"/>
        <v>138108</v>
      </c>
      <c r="M537" s="28">
        <f t="shared" si="265"/>
        <v>0</v>
      </c>
      <c r="N537" s="28">
        <f t="shared" si="265"/>
        <v>0</v>
      </c>
      <c r="O537" s="28">
        <f t="shared" si="265"/>
        <v>0</v>
      </c>
      <c r="P537" s="28">
        <f t="shared" si="265"/>
        <v>138108</v>
      </c>
      <c r="Q537" s="28">
        <f t="shared" si="265"/>
        <v>0</v>
      </c>
      <c r="R537" s="29">
        <f>IFERROR(Q537/$P537,0)</f>
        <v>0</v>
      </c>
      <c r="S537" s="28">
        <f>SUM(S535:S536)</f>
        <v>0</v>
      </c>
      <c r="T537" s="29">
        <f>IFERROR(S537/$P537,0)</f>
        <v>0</v>
      </c>
      <c r="U537" s="28">
        <f>SUM(U535:U536)</f>
        <v>0</v>
      </c>
      <c r="V537" s="29">
        <f>IFERROR(U537/$P537,0)</f>
        <v>0</v>
      </c>
      <c r="W537" s="28">
        <f>SUM(W535:W536)</f>
        <v>0</v>
      </c>
      <c r="X537" s="29">
        <f>IFERROR(W537/$P537,0)</f>
        <v>0</v>
      </c>
      <c r="Y537" s="28">
        <f>SUM(Y535:Y536)</f>
        <v>0</v>
      </c>
      <c r="Z537" s="28">
        <f>SUM(Z535:Z536)</f>
        <v>0</v>
      </c>
    </row>
    <row r="539" spans="1:26" ht="13.9" customHeight="1" x14ac:dyDescent="0.25">
      <c r="D539" s="15" t="s">
        <v>55</v>
      </c>
    </row>
    <row r="540" spans="1:26" ht="13.9" hidden="1" customHeight="1" x14ac:dyDescent="0.25">
      <c r="D540" s="188" t="s">
        <v>257</v>
      </c>
      <c r="E540" s="51" t="s">
        <v>258</v>
      </c>
      <c r="F540" s="30"/>
      <c r="G540" s="52">
        <v>90521.43</v>
      </c>
      <c r="H540" s="52"/>
      <c r="I540" s="52"/>
      <c r="J540" s="52"/>
      <c r="K540" s="52"/>
      <c r="L540" s="52"/>
      <c r="M540" s="52"/>
      <c r="N540" s="52"/>
      <c r="O540" s="52"/>
      <c r="P540" s="52">
        <f t="shared" ref="P540:P545" si="266">K540+SUM(L540:O540)</f>
        <v>0</v>
      </c>
      <c r="Q540" s="52"/>
      <c r="R540" s="53">
        <f t="shared" ref="R540:R545" si="267">IFERROR(Q540/$P540,0)</f>
        <v>0</v>
      </c>
      <c r="S540" s="52"/>
      <c r="T540" s="53">
        <f t="shared" ref="T540:T545" si="268">IFERROR(S540/$P540,0)</f>
        <v>0</v>
      </c>
      <c r="U540" s="52"/>
      <c r="V540" s="53">
        <f t="shared" ref="V540:V545" si="269">IFERROR(U540/$P540,0)</f>
        <v>0</v>
      </c>
      <c r="W540" s="52"/>
      <c r="X540" s="54">
        <f t="shared" ref="X540:X545" si="270">IFERROR(W540/$P540,0)</f>
        <v>0</v>
      </c>
      <c r="Y540" s="52"/>
      <c r="Z540" s="55"/>
    </row>
    <row r="541" spans="1:26" ht="13.9" hidden="1" customHeight="1" x14ac:dyDescent="0.25">
      <c r="D541" s="188"/>
      <c r="E541" s="149" t="s">
        <v>259</v>
      </c>
      <c r="F541" s="92"/>
      <c r="G541" s="95">
        <v>4368</v>
      </c>
      <c r="H541" s="95"/>
      <c r="I541" s="95"/>
      <c r="J541" s="95"/>
      <c r="K541" s="95"/>
      <c r="L541" s="95"/>
      <c r="M541" s="95"/>
      <c r="N541" s="95"/>
      <c r="O541" s="95"/>
      <c r="P541" s="95">
        <f t="shared" si="266"/>
        <v>0</v>
      </c>
      <c r="Q541" s="95"/>
      <c r="R541" s="96">
        <f t="shared" si="267"/>
        <v>0</v>
      </c>
      <c r="S541" s="95"/>
      <c r="T541" s="96">
        <f t="shared" si="268"/>
        <v>0</v>
      </c>
      <c r="U541" s="95"/>
      <c r="V541" s="96">
        <f t="shared" si="269"/>
        <v>0</v>
      </c>
      <c r="W541" s="95"/>
      <c r="X541" s="59">
        <f t="shared" si="270"/>
        <v>0</v>
      </c>
      <c r="Y541" s="95"/>
      <c r="Z541" s="60"/>
    </row>
    <row r="542" spans="1:26" ht="13.9" hidden="1" customHeight="1" x14ac:dyDescent="0.25">
      <c r="D542" s="188"/>
      <c r="E542" s="149" t="s">
        <v>260</v>
      </c>
      <c r="F542" s="92"/>
      <c r="G542" s="95">
        <v>958</v>
      </c>
      <c r="H542" s="95"/>
      <c r="I542" s="95"/>
      <c r="J542" s="95"/>
      <c r="K542" s="95"/>
      <c r="L542" s="95"/>
      <c r="M542" s="95"/>
      <c r="N542" s="95"/>
      <c r="O542" s="95"/>
      <c r="P542" s="95">
        <f t="shared" si="266"/>
        <v>0</v>
      </c>
      <c r="Q542" s="95"/>
      <c r="R542" s="96">
        <f t="shared" si="267"/>
        <v>0</v>
      </c>
      <c r="S542" s="95"/>
      <c r="T542" s="96">
        <f t="shared" si="268"/>
        <v>0</v>
      </c>
      <c r="U542" s="95"/>
      <c r="V542" s="96">
        <f t="shared" si="269"/>
        <v>0</v>
      </c>
      <c r="W542" s="95"/>
      <c r="X542" s="59">
        <f t="shared" si="270"/>
        <v>0</v>
      </c>
      <c r="Y542" s="95"/>
      <c r="Z542" s="60"/>
    </row>
    <row r="543" spans="1:26" ht="13.9" hidden="1" customHeight="1" x14ac:dyDescent="0.25">
      <c r="D543" s="188" t="s">
        <v>257</v>
      </c>
      <c r="E543" s="150" t="s">
        <v>261</v>
      </c>
      <c r="F543" s="138"/>
      <c r="G543" s="151">
        <v>432</v>
      </c>
      <c r="H543" s="151"/>
      <c r="I543" s="151"/>
      <c r="J543" s="151">
        <v>14000</v>
      </c>
      <c r="K543" s="151"/>
      <c r="L543" s="151"/>
      <c r="M543" s="151"/>
      <c r="N543" s="151"/>
      <c r="O543" s="151"/>
      <c r="P543" s="151">
        <f t="shared" si="266"/>
        <v>0</v>
      </c>
      <c r="Q543" s="151"/>
      <c r="R543" s="152">
        <f t="shared" si="267"/>
        <v>0</v>
      </c>
      <c r="S543" s="151"/>
      <c r="T543" s="152">
        <f t="shared" si="268"/>
        <v>0</v>
      </c>
      <c r="U543" s="151"/>
      <c r="V543" s="152">
        <f t="shared" si="269"/>
        <v>0</v>
      </c>
      <c r="W543" s="151"/>
      <c r="X543" s="153">
        <f t="shared" si="270"/>
        <v>0</v>
      </c>
      <c r="Y543" s="151"/>
      <c r="Z543" s="154"/>
    </row>
    <row r="544" spans="1:26" ht="13.9" hidden="1" customHeight="1" x14ac:dyDescent="0.25">
      <c r="D544" s="188"/>
      <c r="E544" s="155" t="s">
        <v>262</v>
      </c>
      <c r="F544" s="92"/>
      <c r="G544" s="95"/>
      <c r="H544" s="95">
        <v>219412.72</v>
      </c>
      <c r="I544" s="95"/>
      <c r="J544" s="95"/>
      <c r="K544" s="95"/>
      <c r="L544" s="95"/>
      <c r="M544" s="95"/>
      <c r="N544" s="95"/>
      <c r="O544" s="95"/>
      <c r="P544" s="95">
        <f t="shared" si="266"/>
        <v>0</v>
      </c>
      <c r="Q544" s="95"/>
      <c r="R544" s="96">
        <f t="shared" si="267"/>
        <v>0</v>
      </c>
      <c r="S544" s="95"/>
      <c r="T544" s="96">
        <f t="shared" si="268"/>
        <v>0</v>
      </c>
      <c r="U544" s="95"/>
      <c r="V544" s="96">
        <f t="shared" si="269"/>
        <v>0</v>
      </c>
      <c r="W544" s="95"/>
      <c r="X544" s="59">
        <f t="shared" si="270"/>
        <v>0</v>
      </c>
      <c r="Y544" s="95"/>
      <c r="Z544" s="156"/>
    </row>
    <row r="545" spans="1:26" ht="13.9" customHeight="1" x14ac:dyDescent="0.25">
      <c r="D545" s="188"/>
      <c r="E545" s="80" t="s">
        <v>263</v>
      </c>
      <c r="F545" s="81"/>
      <c r="G545" s="82">
        <v>144</v>
      </c>
      <c r="H545" s="82">
        <v>400</v>
      </c>
      <c r="I545" s="82">
        <v>138109</v>
      </c>
      <c r="J545" s="82">
        <v>0</v>
      </c>
      <c r="K545" s="82">
        <v>0</v>
      </c>
      <c r="L545" s="82">
        <v>138108</v>
      </c>
      <c r="M545" s="82"/>
      <c r="N545" s="82"/>
      <c r="O545" s="82"/>
      <c r="P545" s="82">
        <f t="shared" si="266"/>
        <v>138108</v>
      </c>
      <c r="Q545" s="82">
        <v>0</v>
      </c>
      <c r="R545" s="157">
        <f t="shared" si="267"/>
        <v>0</v>
      </c>
      <c r="S545" s="82"/>
      <c r="T545" s="157">
        <f t="shared" si="268"/>
        <v>0</v>
      </c>
      <c r="U545" s="82"/>
      <c r="V545" s="157">
        <f t="shared" si="269"/>
        <v>0</v>
      </c>
      <c r="W545" s="82"/>
      <c r="X545" s="158">
        <f t="shared" si="270"/>
        <v>0</v>
      </c>
      <c r="Y545" s="108"/>
      <c r="Z545" s="159"/>
    </row>
    <row r="547" spans="1:26" ht="13.9" customHeight="1" x14ac:dyDescent="0.25">
      <c r="D547" s="41" t="s">
        <v>264</v>
      </c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2"/>
      <c r="S547" s="41"/>
      <c r="T547" s="42"/>
      <c r="U547" s="41"/>
      <c r="V547" s="42"/>
      <c r="W547" s="41"/>
      <c r="X547" s="42"/>
      <c r="Y547" s="41"/>
      <c r="Z547" s="41"/>
    </row>
    <row r="548" spans="1:26" ht="13.9" customHeight="1" x14ac:dyDescent="0.25">
      <c r="D548" s="148"/>
      <c r="E548" s="21"/>
      <c r="F548" s="21"/>
      <c r="G548" s="21" t="s">
        <v>1</v>
      </c>
      <c r="H548" s="21" t="s">
        <v>2</v>
      </c>
      <c r="I548" s="21" t="s">
        <v>3</v>
      </c>
      <c r="J548" s="21" t="s">
        <v>4</v>
      </c>
      <c r="K548" s="21" t="s">
        <v>5</v>
      </c>
      <c r="L548" s="21" t="s">
        <v>6</v>
      </c>
      <c r="M548" s="21" t="s">
        <v>7</v>
      </c>
      <c r="N548" s="21" t="s">
        <v>8</v>
      </c>
      <c r="O548" s="21" t="s">
        <v>9</v>
      </c>
      <c r="P548" s="21" t="s">
        <v>10</v>
      </c>
      <c r="Q548" s="21" t="s">
        <v>11</v>
      </c>
      <c r="R548" s="22" t="s">
        <v>12</v>
      </c>
      <c r="S548" s="21" t="s">
        <v>13</v>
      </c>
      <c r="T548" s="22" t="s">
        <v>14</v>
      </c>
      <c r="U548" s="21" t="s">
        <v>15</v>
      </c>
      <c r="V548" s="22" t="s">
        <v>16</v>
      </c>
      <c r="W548" s="21" t="s">
        <v>17</v>
      </c>
      <c r="X548" s="22" t="s">
        <v>18</v>
      </c>
      <c r="Y548" s="21" t="s">
        <v>19</v>
      </c>
      <c r="Z548" s="21" t="s">
        <v>20</v>
      </c>
    </row>
    <row r="549" spans="1:26" ht="13.9" customHeight="1" x14ac:dyDescent="0.25">
      <c r="A549" s="15">
        <v>8</v>
      </c>
      <c r="B549" s="15">
        <v>3</v>
      </c>
      <c r="D549" s="187" t="s">
        <v>21</v>
      </c>
      <c r="E549" s="24">
        <v>111</v>
      </c>
      <c r="F549" s="24" t="s">
        <v>132</v>
      </c>
      <c r="G549" s="25">
        <v>0</v>
      </c>
      <c r="H549" s="25">
        <v>0</v>
      </c>
      <c r="I549" s="25">
        <v>0</v>
      </c>
      <c r="J549" s="25">
        <v>0</v>
      </c>
      <c r="K549" s="25">
        <v>2267005</v>
      </c>
      <c r="L549" s="25">
        <f>SUM(L553:L555)</f>
        <v>0</v>
      </c>
      <c r="M549" s="25">
        <f>SUM(M553:M555)</f>
        <v>0</v>
      </c>
      <c r="N549" s="25">
        <f>SUM(N553:N555)</f>
        <v>0</v>
      </c>
      <c r="O549" s="25">
        <f>SUM(O553:O555)</f>
        <v>0</v>
      </c>
      <c r="P549" s="25">
        <f>SUM(K549:O549)</f>
        <v>2267005</v>
      </c>
      <c r="Q549" s="25">
        <v>0</v>
      </c>
      <c r="R549" s="26">
        <f>IFERROR(Q549/$P549,0)</f>
        <v>0</v>
      </c>
      <c r="S549" s="25">
        <f>SUM(S553:S555)</f>
        <v>0</v>
      </c>
      <c r="T549" s="26">
        <f>IFERROR(S549/$P549,0)</f>
        <v>0</v>
      </c>
      <c r="U549" s="25">
        <f>SUM(U553:U555)</f>
        <v>0</v>
      </c>
      <c r="V549" s="26">
        <f>IFERROR(U549/$P549,0)</f>
        <v>0</v>
      </c>
      <c r="W549" s="25">
        <f>SUM(W553:W555)</f>
        <v>0</v>
      </c>
      <c r="X549" s="26">
        <f>IFERROR(W549/$P549,0)</f>
        <v>0</v>
      </c>
      <c r="Y549" s="25">
        <f>SUM(Y553:Y555)</f>
        <v>0</v>
      </c>
      <c r="Z549" s="25">
        <f>SUM(Z553:Z555)</f>
        <v>0</v>
      </c>
    </row>
    <row r="550" spans="1:26" ht="13.9" customHeight="1" x14ac:dyDescent="0.25">
      <c r="A550" s="15">
        <v>8</v>
      </c>
      <c r="B550" s="15">
        <v>3</v>
      </c>
      <c r="D550" s="187"/>
      <c r="E550" s="24">
        <v>41</v>
      </c>
      <c r="F550" s="24" t="s">
        <v>23</v>
      </c>
      <c r="G550" s="25">
        <f t="shared" ref="G550:Q550" si="271">SUM(G554:G556)-G549</f>
        <v>203327.19</v>
      </c>
      <c r="H550" s="25">
        <f t="shared" si="271"/>
        <v>173301.38</v>
      </c>
      <c r="I550" s="25">
        <f t="shared" si="271"/>
        <v>300000</v>
      </c>
      <c r="J550" s="25">
        <f t="shared" si="271"/>
        <v>281642</v>
      </c>
      <c r="K550" s="25">
        <f t="shared" si="271"/>
        <v>497131</v>
      </c>
      <c r="L550" s="25">
        <f t="shared" si="271"/>
        <v>0</v>
      </c>
      <c r="M550" s="25">
        <f t="shared" si="271"/>
        <v>0</v>
      </c>
      <c r="N550" s="25">
        <f t="shared" si="271"/>
        <v>0</v>
      </c>
      <c r="O550" s="25">
        <f t="shared" si="271"/>
        <v>0</v>
      </c>
      <c r="P550" s="25">
        <f t="shared" si="271"/>
        <v>497131</v>
      </c>
      <c r="Q550" s="25">
        <f t="shared" si="271"/>
        <v>3505.5</v>
      </c>
      <c r="R550" s="26">
        <f>IFERROR(Q550/$P550,0)</f>
        <v>7.0514612848524838E-3</v>
      </c>
      <c r="S550" s="25">
        <f>SUM(S554:S556)-S549</f>
        <v>0</v>
      </c>
      <c r="T550" s="26">
        <f>IFERROR(S550/$P550,0)</f>
        <v>0</v>
      </c>
      <c r="U550" s="25">
        <f>SUM(U554:U556)-U549</f>
        <v>0</v>
      </c>
      <c r="V550" s="26">
        <f>IFERROR(U550/$P550,0)</f>
        <v>0</v>
      </c>
      <c r="W550" s="25">
        <f>SUM(W554:W556)-W549</f>
        <v>0</v>
      </c>
      <c r="X550" s="26">
        <f>IFERROR(W550/$P550,0)</f>
        <v>0</v>
      </c>
      <c r="Y550" s="25">
        <f>SUM(Y554:Y556)-Y549</f>
        <v>0</v>
      </c>
      <c r="Z550" s="25">
        <f>SUM(Z554:Z556)-Z549</f>
        <v>0</v>
      </c>
    </row>
    <row r="551" spans="1:26" ht="13.9" customHeight="1" x14ac:dyDescent="0.25">
      <c r="A551" s="15">
        <v>8</v>
      </c>
      <c r="B551" s="15">
        <v>3</v>
      </c>
      <c r="D551" s="30"/>
      <c r="E551" s="31"/>
      <c r="F551" s="27" t="s">
        <v>122</v>
      </c>
      <c r="G551" s="28">
        <f t="shared" ref="G551:Q551" si="272">SUM(G549:G550)</f>
        <v>203327.19</v>
      </c>
      <c r="H551" s="28">
        <f t="shared" si="272"/>
        <v>173301.38</v>
      </c>
      <c r="I551" s="28">
        <f t="shared" si="272"/>
        <v>300000</v>
      </c>
      <c r="J551" s="28">
        <f t="shared" si="272"/>
        <v>281642</v>
      </c>
      <c r="K551" s="28">
        <f t="shared" si="272"/>
        <v>2764136</v>
      </c>
      <c r="L551" s="28">
        <f t="shared" si="272"/>
        <v>0</v>
      </c>
      <c r="M551" s="28">
        <f t="shared" si="272"/>
        <v>0</v>
      </c>
      <c r="N551" s="28">
        <f t="shared" si="272"/>
        <v>0</v>
      </c>
      <c r="O551" s="28">
        <f t="shared" si="272"/>
        <v>0</v>
      </c>
      <c r="P551" s="28">
        <f t="shared" si="272"/>
        <v>2764136</v>
      </c>
      <c r="Q551" s="28">
        <f t="shared" si="272"/>
        <v>3505.5</v>
      </c>
      <c r="R551" s="29">
        <f>IFERROR(Q551/$P551,0)</f>
        <v>1.2682082213031486E-3</v>
      </c>
      <c r="S551" s="28">
        <f>SUM(S549:S550)</f>
        <v>0</v>
      </c>
      <c r="T551" s="29">
        <f>IFERROR(S551/$P551,0)</f>
        <v>0</v>
      </c>
      <c r="U551" s="28">
        <f>SUM(U549:U550)</f>
        <v>0</v>
      </c>
      <c r="V551" s="29">
        <f>IFERROR(U551/$P551,0)</f>
        <v>0</v>
      </c>
      <c r="W551" s="28">
        <f>SUM(W549:W550)</f>
        <v>0</v>
      </c>
      <c r="X551" s="29">
        <f>IFERROR(W551/$P551,0)</f>
        <v>0</v>
      </c>
      <c r="Y551" s="28">
        <f>SUM(Y549:Y550)</f>
        <v>0</v>
      </c>
      <c r="Z551" s="28">
        <f>SUM(Z549:Z550)</f>
        <v>0</v>
      </c>
    </row>
    <row r="553" spans="1:26" ht="13.9" customHeight="1" x14ac:dyDescent="0.25">
      <c r="D553" s="15" t="s">
        <v>55</v>
      </c>
    </row>
    <row r="554" spans="1:26" ht="13.9" hidden="1" customHeight="1" x14ac:dyDescent="0.25">
      <c r="D554" s="13" t="s">
        <v>265</v>
      </c>
      <c r="E554" s="117" t="s">
        <v>266</v>
      </c>
      <c r="F554" s="128"/>
      <c r="G554" s="129">
        <v>8090</v>
      </c>
      <c r="H554" s="129"/>
      <c r="I554" s="129"/>
      <c r="J554" s="129"/>
      <c r="K554" s="129"/>
      <c r="L554" s="129"/>
      <c r="M554" s="129"/>
      <c r="N554" s="129"/>
      <c r="O554" s="129"/>
      <c r="P554" s="129">
        <f>K554+SUM(L554:O554)</f>
        <v>0</v>
      </c>
      <c r="Q554" s="129"/>
      <c r="R554" s="130">
        <f>IFERROR(Q554/$P554,0)</f>
        <v>0</v>
      </c>
      <c r="S554" s="129"/>
      <c r="T554" s="130">
        <f>IFERROR(S554/$P554,0)</f>
        <v>0</v>
      </c>
      <c r="U554" s="129"/>
      <c r="V554" s="130">
        <f>IFERROR(U554/$P554,0)</f>
        <v>0</v>
      </c>
      <c r="W554" s="129"/>
      <c r="X554" s="131">
        <f>IFERROR(W554/$P554,0)</f>
        <v>0</v>
      </c>
      <c r="Y554" s="129"/>
      <c r="Z554" s="132"/>
    </row>
    <row r="555" spans="1:26" ht="13.9" customHeight="1" x14ac:dyDescent="0.25">
      <c r="D555" s="13"/>
      <c r="E555" s="117" t="s">
        <v>267</v>
      </c>
      <c r="F555" s="128"/>
      <c r="G555" s="129">
        <v>195237.19</v>
      </c>
      <c r="H555" s="129">
        <v>173301.38</v>
      </c>
      <c r="I555" s="129">
        <v>300000</v>
      </c>
      <c r="J555" s="129">
        <v>281642</v>
      </c>
      <c r="K555" s="129">
        <v>300000</v>
      </c>
      <c r="L555" s="129"/>
      <c r="M555" s="129"/>
      <c r="N555" s="129"/>
      <c r="O555" s="129"/>
      <c r="P555" s="129">
        <f>K555+SUM(L555:O555)</f>
        <v>300000</v>
      </c>
      <c r="Q555" s="129">
        <v>3505.5</v>
      </c>
      <c r="R555" s="130">
        <f>IFERROR(Q555/$P555,0)</f>
        <v>1.1684999999999999E-2</v>
      </c>
      <c r="S555" s="129"/>
      <c r="T555" s="130">
        <f>IFERROR(S555/$P555,0)</f>
        <v>0</v>
      </c>
      <c r="U555" s="129"/>
      <c r="V555" s="130">
        <f>IFERROR(U555/$P555,0)</f>
        <v>0</v>
      </c>
      <c r="W555" s="129"/>
      <c r="X555" s="131">
        <f>IFERROR(W555/$P555,0)</f>
        <v>0</v>
      </c>
      <c r="Y555" s="129"/>
      <c r="Z555" s="132"/>
    </row>
    <row r="556" spans="1:26" ht="13.9" customHeight="1" x14ac:dyDescent="0.25">
      <c r="D556" s="13"/>
      <c r="E556" s="117" t="s">
        <v>268</v>
      </c>
      <c r="F556" s="128"/>
      <c r="G556" s="129"/>
      <c r="H556" s="129"/>
      <c r="I556" s="129"/>
      <c r="J556" s="129"/>
      <c r="K556" s="129">
        <v>2464136</v>
      </c>
      <c r="L556" s="129"/>
      <c r="M556" s="129"/>
      <c r="N556" s="129"/>
      <c r="O556" s="129"/>
      <c r="P556" s="129">
        <f>K556+SUM(L556:O556)</f>
        <v>2464136</v>
      </c>
      <c r="Q556" s="129">
        <v>0</v>
      </c>
      <c r="R556" s="130">
        <f>IFERROR(Q556/$P556,0)</f>
        <v>0</v>
      </c>
      <c r="S556" s="129"/>
      <c r="T556" s="130">
        <f>IFERROR(S556/$P556,0)</f>
        <v>0</v>
      </c>
      <c r="U556" s="129"/>
      <c r="V556" s="130">
        <f>IFERROR(U556/$P556,0)</f>
        <v>0</v>
      </c>
      <c r="W556" s="129"/>
      <c r="X556" s="131">
        <f>IFERROR(W556/$P556,0)</f>
        <v>0</v>
      </c>
      <c r="Y556" s="160"/>
      <c r="Z556" s="132"/>
    </row>
    <row r="558" spans="1:26" ht="13.9" customHeight="1" x14ac:dyDescent="0.25">
      <c r="D558" s="41" t="s">
        <v>269</v>
      </c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2"/>
      <c r="S558" s="41"/>
      <c r="T558" s="42"/>
      <c r="U558" s="41"/>
      <c r="V558" s="42"/>
      <c r="W558" s="41"/>
      <c r="X558" s="42"/>
      <c r="Y558" s="41"/>
      <c r="Z558" s="41"/>
    </row>
    <row r="559" spans="1:26" ht="13.9" customHeight="1" x14ac:dyDescent="0.25">
      <c r="D559" s="148"/>
      <c r="E559" s="21"/>
      <c r="F559" s="21"/>
      <c r="G559" s="21" t="s">
        <v>1</v>
      </c>
      <c r="H559" s="21" t="s">
        <v>2</v>
      </c>
      <c r="I559" s="21" t="s">
        <v>3</v>
      </c>
      <c r="J559" s="21" t="s">
        <v>4</v>
      </c>
      <c r="K559" s="21" t="s">
        <v>5</v>
      </c>
      <c r="L559" s="21" t="s">
        <v>6</v>
      </c>
      <c r="M559" s="21" t="s">
        <v>7</v>
      </c>
      <c r="N559" s="21" t="s">
        <v>8</v>
      </c>
      <c r="O559" s="21" t="s">
        <v>9</v>
      </c>
      <c r="P559" s="21" t="s">
        <v>10</v>
      </c>
      <c r="Q559" s="21" t="s">
        <v>11</v>
      </c>
      <c r="R559" s="22" t="s">
        <v>12</v>
      </c>
      <c r="S559" s="21" t="s">
        <v>13</v>
      </c>
      <c r="T559" s="22" t="s">
        <v>14</v>
      </c>
      <c r="U559" s="21" t="s">
        <v>15</v>
      </c>
      <c r="V559" s="22" t="s">
        <v>16</v>
      </c>
      <c r="W559" s="21" t="s">
        <v>17</v>
      </c>
      <c r="X559" s="22" t="s">
        <v>18</v>
      </c>
      <c r="Y559" s="21" t="s">
        <v>19</v>
      </c>
      <c r="Z559" s="21" t="s">
        <v>20</v>
      </c>
    </row>
    <row r="560" spans="1:26" ht="13.9" customHeight="1" x14ac:dyDescent="0.25">
      <c r="A560" s="15">
        <v>8</v>
      </c>
      <c r="B560" s="15">
        <v>4</v>
      </c>
      <c r="D560" s="13" t="s">
        <v>21</v>
      </c>
      <c r="E560" s="24">
        <v>111</v>
      </c>
      <c r="F560" s="24" t="s">
        <v>45</v>
      </c>
      <c r="G560" s="25">
        <v>0</v>
      </c>
      <c r="H560" s="25">
        <v>0</v>
      </c>
      <c r="I560" s="25">
        <v>424288</v>
      </c>
      <c r="J560" s="25">
        <v>107317</v>
      </c>
      <c r="K560" s="25">
        <f>200633+48726</f>
        <v>249359</v>
      </c>
      <c r="L560" s="25"/>
      <c r="M560" s="25"/>
      <c r="N560" s="25"/>
      <c r="O560" s="25"/>
      <c r="P560" s="25">
        <f>SUM(K560:O560)</f>
        <v>249359</v>
      </c>
      <c r="Q560" s="25">
        <v>0</v>
      </c>
      <c r="R560" s="26">
        <f>IFERROR(Q560/$P560,0)</f>
        <v>0</v>
      </c>
      <c r="S560" s="25"/>
      <c r="T560" s="26">
        <f>IFERROR(S560/$P560,0)</f>
        <v>0</v>
      </c>
      <c r="U560" s="25">
        <v>0</v>
      </c>
      <c r="V560" s="26">
        <f>IFERROR(U560/$P560,0)</f>
        <v>0</v>
      </c>
      <c r="W560" s="25">
        <v>0</v>
      </c>
      <c r="X560" s="26">
        <f>IFERROR(W560/$P560,0)</f>
        <v>0</v>
      </c>
      <c r="Y560" s="25">
        <v>0</v>
      </c>
      <c r="Z560" s="25">
        <v>0</v>
      </c>
    </row>
    <row r="561" spans="1:26" ht="13.9" customHeight="1" x14ac:dyDescent="0.25">
      <c r="A561" s="15">
        <v>8</v>
      </c>
      <c r="B561" s="15">
        <v>4</v>
      </c>
      <c r="D561" s="13"/>
      <c r="E561" s="24">
        <v>41</v>
      </c>
      <c r="F561" s="24" t="s">
        <v>23</v>
      </c>
      <c r="G561" s="25">
        <f t="shared" ref="G561:Q561" si="273">SUM(G565:G569)-G560</f>
        <v>0</v>
      </c>
      <c r="H561" s="25">
        <f t="shared" si="273"/>
        <v>18426.739999999998</v>
      </c>
      <c r="I561" s="25">
        <f t="shared" si="273"/>
        <v>46254</v>
      </c>
      <c r="J561" s="25">
        <f t="shared" si="273"/>
        <v>16014</v>
      </c>
      <c r="K561" s="25">
        <f t="shared" si="273"/>
        <v>31683</v>
      </c>
      <c r="L561" s="25">
        <f t="shared" si="273"/>
        <v>0</v>
      </c>
      <c r="M561" s="25">
        <f t="shared" si="273"/>
        <v>0</v>
      </c>
      <c r="N561" s="25">
        <f t="shared" si="273"/>
        <v>0</v>
      </c>
      <c r="O561" s="25">
        <f t="shared" si="273"/>
        <v>0</v>
      </c>
      <c r="P561" s="25">
        <f t="shared" si="273"/>
        <v>31683</v>
      </c>
      <c r="Q561" s="25">
        <f t="shared" si="273"/>
        <v>0</v>
      </c>
      <c r="R561" s="26">
        <f>IFERROR(Q561/$P561,0)</f>
        <v>0</v>
      </c>
      <c r="S561" s="25">
        <f>SUM(S565:S569)-S560</f>
        <v>0</v>
      </c>
      <c r="T561" s="26">
        <f>IFERROR(S561/$P561,0)</f>
        <v>0</v>
      </c>
      <c r="U561" s="25">
        <f>SUM(U565:U569)-U560</f>
        <v>0</v>
      </c>
      <c r="V561" s="26">
        <f>IFERROR(U561/$P561,0)</f>
        <v>0</v>
      </c>
      <c r="W561" s="25">
        <f>SUM(W565:W569)-W560</f>
        <v>0</v>
      </c>
      <c r="X561" s="26">
        <f>IFERROR(W561/$P561,0)</f>
        <v>0</v>
      </c>
      <c r="Y561" s="25">
        <f>SUM(Y565:Y569)-Y560</f>
        <v>0</v>
      </c>
      <c r="Z561" s="25">
        <f>SUM(Z565:Z569)-Z560</f>
        <v>0</v>
      </c>
    </row>
    <row r="562" spans="1:26" ht="13.9" customHeight="1" x14ac:dyDescent="0.25">
      <c r="D562" s="30"/>
      <c r="E562" s="31"/>
      <c r="F562" s="27" t="s">
        <v>122</v>
      </c>
      <c r="G562" s="28">
        <f t="shared" ref="G562:Q562" si="274">SUM(G560:G561)</f>
        <v>0</v>
      </c>
      <c r="H562" s="28">
        <f t="shared" si="274"/>
        <v>18426.739999999998</v>
      </c>
      <c r="I562" s="28">
        <f t="shared" si="274"/>
        <v>470542</v>
      </c>
      <c r="J562" s="28">
        <f t="shared" si="274"/>
        <v>123331</v>
      </c>
      <c r="K562" s="28">
        <f t="shared" si="274"/>
        <v>281042</v>
      </c>
      <c r="L562" s="28">
        <f t="shared" si="274"/>
        <v>0</v>
      </c>
      <c r="M562" s="28">
        <f t="shared" si="274"/>
        <v>0</v>
      </c>
      <c r="N562" s="28">
        <f t="shared" si="274"/>
        <v>0</v>
      </c>
      <c r="O562" s="28">
        <f t="shared" si="274"/>
        <v>0</v>
      </c>
      <c r="P562" s="28">
        <f t="shared" si="274"/>
        <v>281042</v>
      </c>
      <c r="Q562" s="28">
        <f t="shared" si="274"/>
        <v>0</v>
      </c>
      <c r="R562" s="29">
        <f>IFERROR(Q562/$P562,0)</f>
        <v>0</v>
      </c>
      <c r="S562" s="28">
        <f>SUM(S560:S561)</f>
        <v>0</v>
      </c>
      <c r="T562" s="29">
        <f>IFERROR(S562/$P562,0)</f>
        <v>0</v>
      </c>
      <c r="U562" s="28">
        <f>SUM(U560:U561)</f>
        <v>0</v>
      </c>
      <c r="V562" s="29">
        <f>IFERROR(U562/$P562,0)</f>
        <v>0</v>
      </c>
      <c r="W562" s="28">
        <f>SUM(W560:W561)</f>
        <v>0</v>
      </c>
      <c r="X562" s="29">
        <f>IFERROR(W562/$P562,0)</f>
        <v>0</v>
      </c>
      <c r="Y562" s="28">
        <f>SUM(Y560:Y561)</f>
        <v>0</v>
      </c>
      <c r="Z562" s="28">
        <f>SUM(Z560:Z561)</f>
        <v>0</v>
      </c>
    </row>
    <row r="564" spans="1:26" ht="13.9" customHeight="1" x14ac:dyDescent="0.25">
      <c r="D564" s="15" t="s">
        <v>55</v>
      </c>
    </row>
    <row r="565" spans="1:26" ht="13.9" hidden="1" customHeight="1" x14ac:dyDescent="0.25">
      <c r="D565" s="13" t="s">
        <v>270</v>
      </c>
      <c r="E565" s="51" t="s">
        <v>271</v>
      </c>
      <c r="F565" s="30"/>
      <c r="G565" s="102"/>
      <c r="H565" s="102"/>
      <c r="I565" s="102">
        <v>15500</v>
      </c>
      <c r="J565" s="102">
        <v>22823</v>
      </c>
      <c r="K565" s="102"/>
      <c r="L565" s="102"/>
      <c r="M565" s="102"/>
      <c r="N565" s="102"/>
      <c r="O565" s="102"/>
      <c r="P565" s="102">
        <f>K565+SUM(L565:O565)</f>
        <v>0</v>
      </c>
      <c r="Q565" s="102"/>
      <c r="R565" s="123">
        <f>IFERROR(Q565/$P565,0)</f>
        <v>0</v>
      </c>
      <c r="S565" s="102"/>
      <c r="T565" s="123">
        <f>IFERROR(S565/$P565,0)</f>
        <v>0</v>
      </c>
      <c r="U565" s="102"/>
      <c r="V565" s="123">
        <f>IFERROR(U565/$P565,0)</f>
        <v>0</v>
      </c>
      <c r="W565" s="102"/>
      <c r="X565" s="124">
        <f>IFERROR(W565/$P565,0)</f>
        <v>0</v>
      </c>
      <c r="Y565" s="52"/>
      <c r="Z565" s="55"/>
    </row>
    <row r="566" spans="1:26" ht="13.9" customHeight="1" x14ac:dyDescent="0.25">
      <c r="D566" s="13"/>
      <c r="E566" s="137" t="s">
        <v>272</v>
      </c>
      <c r="F566" s="138"/>
      <c r="G566" s="151"/>
      <c r="H566" s="151"/>
      <c r="I566" s="151">
        <v>445042</v>
      </c>
      <c r="J566" s="151"/>
      <c r="K566" s="151">
        <v>218079</v>
      </c>
      <c r="L566" s="151"/>
      <c r="M566" s="151"/>
      <c r="N566" s="151"/>
      <c r="O566" s="151"/>
      <c r="P566" s="151">
        <f>K566+SUM(L566:O566)</f>
        <v>218079</v>
      </c>
      <c r="Q566" s="151">
        <v>0</v>
      </c>
      <c r="R566" s="152">
        <f>IFERROR(Q566/$P566,0)</f>
        <v>0</v>
      </c>
      <c r="S566" s="151"/>
      <c r="T566" s="152">
        <f>IFERROR(S566/$P566,0)</f>
        <v>0</v>
      </c>
      <c r="U566" s="151"/>
      <c r="V566" s="152">
        <f>IFERROR(U566/$P566,0)</f>
        <v>0</v>
      </c>
      <c r="W566" s="151"/>
      <c r="X566" s="153">
        <f>IFERROR(W566/$P566,0)</f>
        <v>0</v>
      </c>
      <c r="Y566" s="95"/>
      <c r="Z566" s="60"/>
    </row>
    <row r="567" spans="1:26" ht="13.9" hidden="1" customHeight="1" x14ac:dyDescent="0.25">
      <c r="D567" s="13"/>
      <c r="E567" s="56" t="s">
        <v>273</v>
      </c>
      <c r="F567" s="92"/>
      <c r="G567" s="95"/>
      <c r="H567" s="95">
        <v>11088</v>
      </c>
      <c r="I567" s="95"/>
      <c r="J567" s="95">
        <v>100508</v>
      </c>
      <c r="K567" s="95"/>
      <c r="L567" s="95"/>
      <c r="M567" s="95"/>
      <c r="N567" s="95"/>
      <c r="O567" s="95"/>
      <c r="P567" s="95">
        <f>K567+SUM(L567:O567)</f>
        <v>0</v>
      </c>
      <c r="Q567" s="95"/>
      <c r="R567" s="96">
        <f>IFERROR(Q567/$P567,0)</f>
        <v>0</v>
      </c>
      <c r="S567" s="95"/>
      <c r="T567" s="96">
        <f>IFERROR(S567/$P567,0)</f>
        <v>0</v>
      </c>
      <c r="U567" s="95"/>
      <c r="V567" s="96">
        <f>IFERROR(U567/$P567,0)</f>
        <v>0</v>
      </c>
      <c r="W567" s="95"/>
      <c r="X567" s="59">
        <f>IFERROR(W567/$P567,0)</f>
        <v>0</v>
      </c>
      <c r="Y567" s="95"/>
      <c r="Z567" s="60"/>
    </row>
    <row r="568" spans="1:26" ht="13.9" customHeight="1" x14ac:dyDescent="0.25">
      <c r="D568" s="13"/>
      <c r="E568" s="64" t="s">
        <v>101</v>
      </c>
      <c r="F568" s="97"/>
      <c r="G568" s="66"/>
      <c r="H568" s="66"/>
      <c r="I568" s="66"/>
      <c r="J568" s="66"/>
      <c r="K568" s="66">
        <v>52963</v>
      </c>
      <c r="L568" s="66"/>
      <c r="M568" s="66"/>
      <c r="N568" s="66"/>
      <c r="O568" s="66"/>
      <c r="P568" s="66">
        <f>K568+SUM(L568:O568)</f>
        <v>52963</v>
      </c>
      <c r="Q568" s="66">
        <v>0</v>
      </c>
      <c r="R568" s="67">
        <f>IFERROR(Q568/$P568,0)</f>
        <v>0</v>
      </c>
      <c r="S568" s="66"/>
      <c r="T568" s="67">
        <f>IFERROR(S568/$P568,0)</f>
        <v>0</v>
      </c>
      <c r="U568" s="66"/>
      <c r="V568" s="67">
        <f>IFERROR(U568/$P568,0)</f>
        <v>0</v>
      </c>
      <c r="W568" s="66"/>
      <c r="X568" s="68">
        <f>IFERROR(W568/$P568,0)</f>
        <v>0</v>
      </c>
      <c r="Y568" s="66"/>
      <c r="Z568" s="69"/>
    </row>
    <row r="569" spans="1:26" ht="13.9" customHeight="1" x14ac:dyDescent="0.25">
      <c r="D569" s="43" t="s">
        <v>274</v>
      </c>
      <c r="E569" s="117" t="s">
        <v>275</v>
      </c>
      <c r="F569" s="128"/>
      <c r="G569" s="160"/>
      <c r="H569" s="160">
        <v>7338.74</v>
      </c>
      <c r="I569" s="160">
        <v>10000</v>
      </c>
      <c r="J569" s="160">
        <v>0</v>
      </c>
      <c r="K569" s="160">
        <v>10000</v>
      </c>
      <c r="L569" s="160"/>
      <c r="M569" s="160"/>
      <c r="N569" s="160"/>
      <c r="O569" s="160"/>
      <c r="P569" s="160">
        <f>K569+SUM(L569:O569)</f>
        <v>10000</v>
      </c>
      <c r="Q569" s="160">
        <v>0</v>
      </c>
      <c r="R569" s="161">
        <f>IFERROR(Q569/$P569,0)</f>
        <v>0</v>
      </c>
      <c r="S569" s="160"/>
      <c r="T569" s="161">
        <f>IFERROR(S569/$P569,0)</f>
        <v>0</v>
      </c>
      <c r="U569" s="160"/>
      <c r="V569" s="161">
        <f>IFERROR(U569/$P569,0)</f>
        <v>0</v>
      </c>
      <c r="W569" s="160"/>
      <c r="X569" s="162">
        <f>IFERROR(W569/$P569,0)</f>
        <v>0</v>
      </c>
      <c r="Y569" s="129"/>
      <c r="Z569" s="132"/>
    </row>
    <row r="571" spans="1:26" ht="13.9" customHeight="1" x14ac:dyDescent="0.25">
      <c r="D571" s="41" t="s">
        <v>276</v>
      </c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2"/>
      <c r="S571" s="41"/>
      <c r="T571" s="42"/>
      <c r="U571" s="41"/>
      <c r="V571" s="42"/>
      <c r="W571" s="41"/>
      <c r="X571" s="42"/>
      <c r="Y571" s="41"/>
      <c r="Z571" s="41"/>
    </row>
    <row r="572" spans="1:26" ht="13.9" customHeight="1" x14ac:dyDescent="0.25">
      <c r="D572" s="148"/>
      <c r="E572" s="21"/>
      <c r="F572" s="21"/>
      <c r="G572" s="21" t="s">
        <v>1</v>
      </c>
      <c r="H572" s="21" t="s">
        <v>2</v>
      </c>
      <c r="I572" s="21" t="s">
        <v>3</v>
      </c>
      <c r="J572" s="21" t="s">
        <v>4</v>
      </c>
      <c r="K572" s="21" t="s">
        <v>5</v>
      </c>
      <c r="L572" s="21" t="s">
        <v>6</v>
      </c>
      <c r="M572" s="21" t="s">
        <v>7</v>
      </c>
      <c r="N572" s="21" t="s">
        <v>8</v>
      </c>
      <c r="O572" s="21" t="s">
        <v>9</v>
      </c>
      <c r="P572" s="21" t="s">
        <v>10</v>
      </c>
      <c r="Q572" s="21" t="s">
        <v>11</v>
      </c>
      <c r="R572" s="22" t="s">
        <v>12</v>
      </c>
      <c r="S572" s="21" t="s">
        <v>13</v>
      </c>
      <c r="T572" s="22" t="s">
        <v>14</v>
      </c>
      <c r="U572" s="21" t="s">
        <v>15</v>
      </c>
      <c r="V572" s="22" t="s">
        <v>16</v>
      </c>
      <c r="W572" s="21" t="s">
        <v>17</v>
      </c>
      <c r="X572" s="22" t="s">
        <v>18</v>
      </c>
      <c r="Y572" s="21" t="s">
        <v>19</v>
      </c>
      <c r="Z572" s="21" t="s">
        <v>20</v>
      </c>
    </row>
    <row r="573" spans="1:26" ht="13.9" customHeight="1" x14ac:dyDescent="0.25">
      <c r="A573" s="15">
        <v>8</v>
      </c>
      <c r="B573" s="15">
        <v>5</v>
      </c>
      <c r="D573" s="13" t="s">
        <v>21</v>
      </c>
      <c r="E573" s="24">
        <v>111</v>
      </c>
      <c r="F573" s="24" t="s">
        <v>45</v>
      </c>
      <c r="G573" s="25">
        <v>150933.32999999999</v>
      </c>
      <c r="H573" s="25">
        <v>0</v>
      </c>
      <c r="I573" s="25">
        <v>0</v>
      </c>
      <c r="J573" s="25">
        <v>0</v>
      </c>
      <c r="K573" s="25">
        <f>312660-J579</f>
        <v>303066</v>
      </c>
      <c r="L573" s="25">
        <v>0</v>
      </c>
      <c r="M573" s="25">
        <v>0</v>
      </c>
      <c r="N573" s="25">
        <v>0</v>
      </c>
      <c r="O573" s="25">
        <v>0</v>
      </c>
      <c r="P573" s="25">
        <f>SUM(K573:O573)</f>
        <v>303066</v>
      </c>
      <c r="Q573" s="25">
        <v>0</v>
      </c>
      <c r="R573" s="26">
        <f>IFERROR(Q573/$P573,0)</f>
        <v>0</v>
      </c>
      <c r="S573" s="25">
        <v>0</v>
      </c>
      <c r="T573" s="26">
        <f>IFERROR(S573/$P573,0)</f>
        <v>0</v>
      </c>
      <c r="U573" s="25">
        <v>0</v>
      </c>
      <c r="V573" s="26">
        <f>IFERROR(U573/$P573,0)</f>
        <v>0</v>
      </c>
      <c r="W573" s="25">
        <v>0</v>
      </c>
      <c r="X573" s="26">
        <f>IFERROR(W573/$P573,0)</f>
        <v>0</v>
      </c>
      <c r="Y573" s="25">
        <v>0</v>
      </c>
      <c r="Z573" s="25">
        <v>0</v>
      </c>
    </row>
    <row r="574" spans="1:26" ht="13.9" customHeight="1" x14ac:dyDescent="0.25">
      <c r="A574" s="15">
        <v>8</v>
      </c>
      <c r="B574" s="15">
        <v>5</v>
      </c>
      <c r="D574" s="13"/>
      <c r="E574" s="24">
        <v>41</v>
      </c>
      <c r="F574" s="24" t="s">
        <v>23</v>
      </c>
      <c r="G574" s="25">
        <f t="shared" ref="G574:Q574" si="275">SUM(G578:G585)-G573</f>
        <v>198304.02</v>
      </c>
      <c r="H574" s="25">
        <f t="shared" si="275"/>
        <v>140075.37</v>
      </c>
      <c r="I574" s="25">
        <f t="shared" si="275"/>
        <v>276202</v>
      </c>
      <c r="J574" s="25">
        <f t="shared" si="275"/>
        <v>161035</v>
      </c>
      <c r="K574" s="25">
        <f t="shared" si="275"/>
        <v>148840</v>
      </c>
      <c r="L574" s="25">
        <f t="shared" si="275"/>
        <v>0</v>
      </c>
      <c r="M574" s="25">
        <f t="shared" si="275"/>
        <v>0</v>
      </c>
      <c r="N574" s="25">
        <f t="shared" si="275"/>
        <v>0</v>
      </c>
      <c r="O574" s="25">
        <f t="shared" si="275"/>
        <v>0</v>
      </c>
      <c r="P574" s="25">
        <f t="shared" si="275"/>
        <v>148840</v>
      </c>
      <c r="Q574" s="25">
        <f t="shared" si="275"/>
        <v>0</v>
      </c>
      <c r="R574" s="26">
        <f>IFERROR(Q574/$P574,0)</f>
        <v>0</v>
      </c>
      <c r="S574" s="25">
        <f>SUM(S578:S585)-S573</f>
        <v>0</v>
      </c>
      <c r="T574" s="26">
        <f>IFERROR(S574/$P574,0)</f>
        <v>0</v>
      </c>
      <c r="U574" s="25">
        <f>SUM(U578:U585)-U573</f>
        <v>0</v>
      </c>
      <c r="V574" s="26">
        <f>IFERROR(U574/$P574,0)</f>
        <v>0</v>
      </c>
      <c r="W574" s="25">
        <f>SUM(W578:W585)-W573</f>
        <v>0</v>
      </c>
      <c r="X574" s="26">
        <f>IFERROR(W574/$P574,0)</f>
        <v>0</v>
      </c>
      <c r="Y574" s="25">
        <f>SUM(Y578:Y585)</f>
        <v>659546</v>
      </c>
      <c r="Z574" s="25">
        <f>SUM(Z578:Z585)</f>
        <v>687381</v>
      </c>
    </row>
    <row r="575" spans="1:26" ht="13.9" customHeight="1" x14ac:dyDescent="0.25">
      <c r="A575" s="15">
        <v>8</v>
      </c>
      <c r="B575" s="15">
        <v>5</v>
      </c>
      <c r="D575" s="30"/>
      <c r="E575" s="31"/>
      <c r="F575" s="27" t="s">
        <v>122</v>
      </c>
      <c r="G575" s="28">
        <f t="shared" ref="G575:Q575" si="276">SUM(G573:G574)</f>
        <v>349237.35</v>
      </c>
      <c r="H575" s="28">
        <f t="shared" si="276"/>
        <v>140075.37</v>
      </c>
      <c r="I575" s="28">
        <f t="shared" si="276"/>
        <v>276202</v>
      </c>
      <c r="J575" s="28">
        <f t="shared" si="276"/>
        <v>161035</v>
      </c>
      <c r="K575" s="28">
        <f t="shared" si="276"/>
        <v>451906</v>
      </c>
      <c r="L575" s="28">
        <f t="shared" si="276"/>
        <v>0</v>
      </c>
      <c r="M575" s="28">
        <f t="shared" si="276"/>
        <v>0</v>
      </c>
      <c r="N575" s="28">
        <f t="shared" si="276"/>
        <v>0</v>
      </c>
      <c r="O575" s="28">
        <f t="shared" si="276"/>
        <v>0</v>
      </c>
      <c r="P575" s="28">
        <f t="shared" si="276"/>
        <v>451906</v>
      </c>
      <c r="Q575" s="28">
        <f t="shared" si="276"/>
        <v>0</v>
      </c>
      <c r="R575" s="29">
        <f>IFERROR(Q575/$P575,0)</f>
        <v>0</v>
      </c>
      <c r="S575" s="28">
        <f>SUM(S573:S574)</f>
        <v>0</v>
      </c>
      <c r="T575" s="29">
        <f>IFERROR(S575/$P575,0)</f>
        <v>0</v>
      </c>
      <c r="U575" s="28">
        <f>SUM(U573:U574)</f>
        <v>0</v>
      </c>
      <c r="V575" s="29">
        <f>IFERROR(U575/$P575,0)</f>
        <v>0</v>
      </c>
      <c r="W575" s="28">
        <f>SUM(W573:W574)</f>
        <v>0</v>
      </c>
      <c r="X575" s="29">
        <f>IFERROR(W575/$P575,0)</f>
        <v>0</v>
      </c>
      <c r="Y575" s="28">
        <f>SUM(Y573:Y574)</f>
        <v>659546</v>
      </c>
      <c r="Z575" s="28">
        <f>SUM(Z573:Z574)</f>
        <v>687381</v>
      </c>
    </row>
    <row r="577" spans="1:26" ht="13.9" customHeight="1" x14ac:dyDescent="0.25">
      <c r="D577" s="15" t="s">
        <v>55</v>
      </c>
    </row>
    <row r="578" spans="1:26" ht="13.9" customHeight="1" x14ac:dyDescent="0.25">
      <c r="D578" s="189" t="s">
        <v>277</v>
      </c>
      <c r="E578" s="51" t="s">
        <v>278</v>
      </c>
      <c r="F578" s="30"/>
      <c r="G578" s="102">
        <v>128332.54</v>
      </c>
      <c r="H578" s="102">
        <v>129938.57</v>
      </c>
      <c r="I578" s="102">
        <v>276202</v>
      </c>
      <c r="J578" s="102">
        <v>151441</v>
      </c>
      <c r="K578" s="102">
        <v>148000</v>
      </c>
      <c r="L578" s="102"/>
      <c r="M578" s="102"/>
      <c r="N578" s="102"/>
      <c r="O578" s="102"/>
      <c r="P578" s="102">
        <f t="shared" ref="P578:P585" si="277">K578+SUM(L578:O578)</f>
        <v>148000</v>
      </c>
      <c r="Q578" s="102">
        <v>0</v>
      </c>
      <c r="R578" s="123">
        <f t="shared" ref="R578:R585" si="278">IFERROR(Q578/$P578,0)</f>
        <v>0</v>
      </c>
      <c r="S578" s="102"/>
      <c r="T578" s="123">
        <f t="shared" ref="T578:T585" si="279">IFERROR(S578/$P578,0)</f>
        <v>0</v>
      </c>
      <c r="U578" s="102"/>
      <c r="V578" s="123">
        <f t="shared" ref="V578:V585" si="280">IFERROR(U578/$P578,0)</f>
        <v>0</v>
      </c>
      <c r="W578" s="102"/>
      <c r="X578" s="124">
        <f t="shared" ref="X578:X585" si="281">IFERROR(W578/$P578,0)</f>
        <v>0</v>
      </c>
      <c r="Y578" s="52"/>
      <c r="Z578" s="55"/>
    </row>
    <row r="579" spans="1:26" ht="13.9" customHeight="1" x14ac:dyDescent="0.25">
      <c r="D579" s="189"/>
      <c r="E579" s="64" t="s">
        <v>279</v>
      </c>
      <c r="F579" s="97"/>
      <c r="G579" s="98"/>
      <c r="H579" s="98"/>
      <c r="I579" s="98"/>
      <c r="J579" s="98">
        <v>9594</v>
      </c>
      <c r="K579" s="98">
        <f>313500-J579</f>
        <v>303906</v>
      </c>
      <c r="L579" s="98"/>
      <c r="M579" s="98"/>
      <c r="N579" s="98"/>
      <c r="O579" s="98"/>
      <c r="P579" s="98">
        <f t="shared" si="277"/>
        <v>303906</v>
      </c>
      <c r="Q579" s="98">
        <v>0</v>
      </c>
      <c r="R579" s="120">
        <f t="shared" si="278"/>
        <v>0</v>
      </c>
      <c r="S579" s="98"/>
      <c r="T579" s="120">
        <f t="shared" si="279"/>
        <v>0</v>
      </c>
      <c r="U579" s="98"/>
      <c r="V579" s="120">
        <f t="shared" si="280"/>
        <v>0</v>
      </c>
      <c r="W579" s="98"/>
      <c r="X579" s="121">
        <f t="shared" si="281"/>
        <v>0</v>
      </c>
      <c r="Y579" s="66"/>
      <c r="Z579" s="69"/>
    </row>
    <row r="580" spans="1:26" ht="13.9" hidden="1" customHeight="1" x14ac:dyDescent="0.25">
      <c r="D580" s="13" t="s">
        <v>280</v>
      </c>
      <c r="E580" s="51" t="s">
        <v>281</v>
      </c>
      <c r="F580" s="30"/>
      <c r="G580" s="52">
        <v>2604</v>
      </c>
      <c r="H580" s="52"/>
      <c r="I580" s="52"/>
      <c r="J580" s="52"/>
      <c r="K580" s="52"/>
      <c r="L580" s="52"/>
      <c r="M580" s="52"/>
      <c r="N580" s="52"/>
      <c r="O580" s="52"/>
      <c r="P580" s="52">
        <f t="shared" si="277"/>
        <v>0</v>
      </c>
      <c r="Q580" s="52"/>
      <c r="R580" s="53">
        <f t="shared" si="278"/>
        <v>0</v>
      </c>
      <c r="S580" s="52"/>
      <c r="T580" s="53">
        <f t="shared" si="279"/>
        <v>0</v>
      </c>
      <c r="U580" s="52"/>
      <c r="V580" s="53">
        <f t="shared" si="280"/>
        <v>0</v>
      </c>
      <c r="W580" s="52"/>
      <c r="X580" s="54">
        <f t="shared" si="281"/>
        <v>0</v>
      </c>
      <c r="Y580" s="52"/>
      <c r="Z580" s="55"/>
    </row>
    <row r="581" spans="1:26" ht="13.9" hidden="1" customHeight="1" x14ac:dyDescent="0.25">
      <c r="D581" s="13"/>
      <c r="E581" s="56" t="s">
        <v>282</v>
      </c>
      <c r="F581" s="92"/>
      <c r="G581" s="95"/>
      <c r="H581" s="95"/>
      <c r="I581" s="95"/>
      <c r="J581" s="95"/>
      <c r="K581" s="95"/>
      <c r="L581" s="95"/>
      <c r="M581" s="95"/>
      <c r="N581" s="95"/>
      <c r="O581" s="95"/>
      <c r="P581" s="95">
        <f t="shared" si="277"/>
        <v>0</v>
      </c>
      <c r="Q581" s="95"/>
      <c r="R581" s="96">
        <f t="shared" si="278"/>
        <v>0</v>
      </c>
      <c r="S581" s="95"/>
      <c r="T581" s="96">
        <f t="shared" si="279"/>
        <v>0</v>
      </c>
      <c r="U581" s="95"/>
      <c r="V581" s="96">
        <f t="shared" si="280"/>
        <v>0</v>
      </c>
      <c r="W581" s="95"/>
      <c r="X581" s="59">
        <f t="shared" si="281"/>
        <v>0</v>
      </c>
      <c r="Y581" s="95">
        <v>659546</v>
      </c>
      <c r="Z581" s="163">
        <v>687381</v>
      </c>
    </row>
    <row r="582" spans="1:26" ht="13.9" hidden="1" customHeight="1" x14ac:dyDescent="0.25">
      <c r="D582" s="13"/>
      <c r="E582" s="56" t="s">
        <v>283</v>
      </c>
      <c r="F582" s="92"/>
      <c r="G582" s="95">
        <v>162238.46</v>
      </c>
      <c r="H582" s="95"/>
      <c r="I582" s="93"/>
      <c r="J582" s="95"/>
      <c r="K582" s="93"/>
      <c r="L582" s="95"/>
      <c r="M582" s="95"/>
      <c r="N582" s="95"/>
      <c r="O582" s="95"/>
      <c r="P582" s="95">
        <f t="shared" si="277"/>
        <v>0</v>
      </c>
      <c r="Q582" s="95"/>
      <c r="R582" s="96">
        <f t="shared" si="278"/>
        <v>0</v>
      </c>
      <c r="S582" s="95"/>
      <c r="T582" s="96">
        <f t="shared" si="279"/>
        <v>0</v>
      </c>
      <c r="U582" s="95"/>
      <c r="V582" s="96">
        <f t="shared" si="280"/>
        <v>0</v>
      </c>
      <c r="W582" s="95"/>
      <c r="X582" s="59">
        <f t="shared" si="281"/>
        <v>0</v>
      </c>
      <c r="Y582" s="93"/>
      <c r="Z582" s="163"/>
    </row>
    <row r="583" spans="1:26" ht="13.9" hidden="1" customHeight="1" x14ac:dyDescent="0.25">
      <c r="D583" s="13"/>
      <c r="E583" s="64" t="s">
        <v>284</v>
      </c>
      <c r="F583" s="97"/>
      <c r="G583" s="66"/>
      <c r="H583" s="66">
        <v>10136.799999999999</v>
      </c>
      <c r="I583" s="98"/>
      <c r="J583" s="66"/>
      <c r="K583" s="98"/>
      <c r="L583" s="66"/>
      <c r="M583" s="66"/>
      <c r="N583" s="66"/>
      <c r="O583" s="66"/>
      <c r="P583" s="66">
        <f t="shared" si="277"/>
        <v>0</v>
      </c>
      <c r="Q583" s="66"/>
      <c r="R583" s="67">
        <f t="shared" si="278"/>
        <v>0</v>
      </c>
      <c r="S583" s="66"/>
      <c r="T583" s="67">
        <f t="shared" si="279"/>
        <v>0</v>
      </c>
      <c r="U583" s="66"/>
      <c r="V583" s="67">
        <f t="shared" si="280"/>
        <v>0</v>
      </c>
      <c r="W583" s="66"/>
      <c r="X583" s="68">
        <f t="shared" si="281"/>
        <v>0</v>
      </c>
      <c r="Y583" s="98"/>
      <c r="Z583" s="164"/>
    </row>
    <row r="584" spans="1:26" ht="13.9" hidden="1" customHeight="1" x14ac:dyDescent="0.25">
      <c r="D584" s="165" t="s">
        <v>285</v>
      </c>
      <c r="E584" s="117" t="s">
        <v>286</v>
      </c>
      <c r="F584" s="128"/>
      <c r="G584" s="129">
        <v>7487.6</v>
      </c>
      <c r="H584" s="129"/>
      <c r="I584" s="129"/>
      <c r="J584" s="129"/>
      <c r="K584" s="129"/>
      <c r="L584" s="129"/>
      <c r="M584" s="129"/>
      <c r="N584" s="129"/>
      <c r="O584" s="129"/>
      <c r="P584" s="129">
        <f t="shared" si="277"/>
        <v>0</v>
      </c>
      <c r="Q584" s="129"/>
      <c r="R584" s="130">
        <f t="shared" si="278"/>
        <v>0</v>
      </c>
      <c r="S584" s="129"/>
      <c r="T584" s="130">
        <f t="shared" si="279"/>
        <v>0</v>
      </c>
      <c r="U584" s="129"/>
      <c r="V584" s="130">
        <f t="shared" si="280"/>
        <v>0</v>
      </c>
      <c r="W584" s="129"/>
      <c r="X584" s="131">
        <f t="shared" si="281"/>
        <v>0</v>
      </c>
      <c r="Y584" s="129"/>
      <c r="Z584" s="132"/>
    </row>
    <row r="585" spans="1:26" ht="13.9" hidden="1" customHeight="1" x14ac:dyDescent="0.25">
      <c r="D585" s="43" t="s">
        <v>287</v>
      </c>
      <c r="E585" s="166" t="s">
        <v>288</v>
      </c>
      <c r="F585" s="128"/>
      <c r="G585" s="129">
        <v>48574.75</v>
      </c>
      <c r="H585" s="129"/>
      <c r="I585" s="129"/>
      <c r="J585" s="129"/>
      <c r="K585" s="129"/>
      <c r="L585" s="129"/>
      <c r="M585" s="129"/>
      <c r="N585" s="129"/>
      <c r="O585" s="129"/>
      <c r="P585" s="129">
        <f t="shared" si="277"/>
        <v>0</v>
      </c>
      <c r="Q585" s="129"/>
      <c r="R585" s="130">
        <f t="shared" si="278"/>
        <v>0</v>
      </c>
      <c r="S585" s="129"/>
      <c r="T585" s="130">
        <f t="shared" si="279"/>
        <v>0</v>
      </c>
      <c r="U585" s="129"/>
      <c r="V585" s="130">
        <f t="shared" si="280"/>
        <v>0</v>
      </c>
      <c r="W585" s="129"/>
      <c r="X585" s="131">
        <f t="shared" si="281"/>
        <v>0</v>
      </c>
      <c r="Y585" s="128"/>
      <c r="Z585" s="167"/>
    </row>
    <row r="587" spans="1:26" ht="13.9" customHeight="1" x14ac:dyDescent="0.25">
      <c r="D587" s="41" t="s">
        <v>289</v>
      </c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2"/>
      <c r="S587" s="41"/>
      <c r="T587" s="42"/>
      <c r="U587" s="41"/>
      <c r="V587" s="42"/>
      <c r="W587" s="41"/>
      <c r="X587" s="42"/>
      <c r="Y587" s="41"/>
      <c r="Z587" s="41"/>
    </row>
    <row r="588" spans="1:26" ht="13.9" customHeight="1" x14ac:dyDescent="0.25">
      <c r="D588" s="148"/>
      <c r="E588" s="21"/>
      <c r="F588" s="21"/>
      <c r="G588" s="21" t="s">
        <v>1</v>
      </c>
      <c r="H588" s="21" t="s">
        <v>2</v>
      </c>
      <c r="I588" s="21" t="s">
        <v>3</v>
      </c>
      <c r="J588" s="21" t="s">
        <v>4</v>
      </c>
      <c r="K588" s="21" t="s">
        <v>5</v>
      </c>
      <c r="L588" s="21" t="s">
        <v>6</v>
      </c>
      <c r="M588" s="21" t="s">
        <v>7</v>
      </c>
      <c r="N588" s="21" t="s">
        <v>8</v>
      </c>
      <c r="O588" s="21" t="s">
        <v>9</v>
      </c>
      <c r="P588" s="21" t="s">
        <v>10</v>
      </c>
      <c r="Q588" s="21" t="s">
        <v>11</v>
      </c>
      <c r="R588" s="22" t="s">
        <v>12</v>
      </c>
      <c r="S588" s="21" t="s">
        <v>13</v>
      </c>
      <c r="T588" s="22" t="s">
        <v>14</v>
      </c>
      <c r="U588" s="21" t="s">
        <v>15</v>
      </c>
      <c r="V588" s="22" t="s">
        <v>16</v>
      </c>
      <c r="W588" s="21" t="s">
        <v>17</v>
      </c>
      <c r="X588" s="22" t="s">
        <v>18</v>
      </c>
      <c r="Y588" s="21" t="s">
        <v>19</v>
      </c>
      <c r="Z588" s="21" t="s">
        <v>20</v>
      </c>
    </row>
    <row r="589" spans="1:26" ht="13.9" customHeight="1" x14ac:dyDescent="0.25">
      <c r="A589" s="15">
        <v>8</v>
      </c>
      <c r="B589" s="15">
        <v>6</v>
      </c>
      <c r="D589" s="187" t="s">
        <v>21</v>
      </c>
      <c r="E589" s="110">
        <v>111</v>
      </c>
      <c r="F589" s="24" t="s">
        <v>132</v>
      </c>
      <c r="G589" s="25">
        <v>0</v>
      </c>
      <c r="H589" s="25">
        <v>0</v>
      </c>
      <c r="I589" s="25">
        <v>0</v>
      </c>
      <c r="J589" s="25">
        <v>0</v>
      </c>
      <c r="K589" s="4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f>SUM(K589:O589)</f>
        <v>0</v>
      </c>
      <c r="Q589" s="25">
        <v>0</v>
      </c>
      <c r="R589" s="26">
        <f>IFERROR(Q589/$P589,0)</f>
        <v>0</v>
      </c>
      <c r="S589" s="25"/>
      <c r="T589" s="26">
        <f>IFERROR(S589/$P589,0)</f>
        <v>0</v>
      </c>
      <c r="U589" s="25"/>
      <c r="V589" s="26">
        <f>IFERROR(U589/$P589,0)</f>
        <v>0</v>
      </c>
      <c r="W589" s="25"/>
      <c r="X589" s="26">
        <f>IFERROR(W589/$P589,0)</f>
        <v>0</v>
      </c>
      <c r="Y589" s="25">
        <f>SUM(Y594)</f>
        <v>0</v>
      </c>
      <c r="Z589" s="25">
        <f>SUM(Z594)</f>
        <v>0</v>
      </c>
    </row>
    <row r="590" spans="1:26" ht="13.9" customHeight="1" x14ac:dyDescent="0.25">
      <c r="A590" s="15">
        <v>8</v>
      </c>
      <c r="B590" s="15">
        <v>6</v>
      </c>
      <c r="D590" s="187"/>
      <c r="E590" s="24">
        <v>41</v>
      </c>
      <c r="F590" s="24" t="s">
        <v>23</v>
      </c>
      <c r="G590" s="25">
        <f>SUM(G595:G599)-G589</f>
        <v>98217.63</v>
      </c>
      <c r="H590" s="25">
        <f>SUM(H595:H599)-H589</f>
        <v>22875</v>
      </c>
      <c r="I590" s="25">
        <f>SUM(I595:I599)-I589-I591</f>
        <v>14000</v>
      </c>
      <c r="J590" s="25">
        <f>SUM(J595:J599)-J589-J591</f>
        <v>18409</v>
      </c>
      <c r="K590" s="25">
        <f>SUM(K595:K599)-K589-K591</f>
        <v>234421</v>
      </c>
      <c r="L590" s="25">
        <f>SUM(L595:L599)-L589</f>
        <v>0</v>
      </c>
      <c r="M590" s="25">
        <f>SUM(M595:M599)-M589</f>
        <v>0</v>
      </c>
      <c r="N590" s="25">
        <f>SUM(N595:N599)-N589</f>
        <v>0</v>
      </c>
      <c r="O590" s="25">
        <f>SUM(O595:O599)-O589</f>
        <v>0</v>
      </c>
      <c r="P590" s="25">
        <f>SUM(P595:P599)-P589-P591</f>
        <v>234421</v>
      </c>
      <c r="Q590" s="25">
        <f>SUM(Q595:Q599)-Q589</f>
        <v>1930</v>
      </c>
      <c r="R590" s="26">
        <f>IFERROR(Q590/$P590,0)</f>
        <v>8.2330507932309813E-3</v>
      </c>
      <c r="S590" s="25">
        <f>SUM(S595:S599)-S589</f>
        <v>0</v>
      </c>
      <c r="T590" s="26">
        <f>IFERROR(S590/$P590,0)</f>
        <v>0</v>
      </c>
      <c r="U590" s="25">
        <f>SUM(U595:U599)-U589</f>
        <v>0</v>
      </c>
      <c r="V590" s="26">
        <f>IFERROR(U590/$P590,0)</f>
        <v>0</v>
      </c>
      <c r="W590" s="25">
        <f>SUM(W595:W599)-W589</f>
        <v>0</v>
      </c>
      <c r="X590" s="26">
        <f>IFERROR(W590/$P590,0)</f>
        <v>0</v>
      </c>
      <c r="Y590" s="25">
        <f>SUM(Y595:Y599)-Y589</f>
        <v>0</v>
      </c>
      <c r="Z590" s="25">
        <f>SUM(Z595:Z599)-Z589</f>
        <v>0</v>
      </c>
    </row>
    <row r="591" spans="1:26" ht="13.9" customHeight="1" x14ac:dyDescent="0.25">
      <c r="A591" s="15">
        <v>8</v>
      </c>
      <c r="B591" s="15">
        <v>6</v>
      </c>
      <c r="D591" s="187"/>
      <c r="E591" s="24">
        <v>71</v>
      </c>
      <c r="F591" s="24" t="s">
        <v>24</v>
      </c>
      <c r="G591" s="25">
        <v>0</v>
      </c>
      <c r="H591" s="25">
        <v>0</v>
      </c>
      <c r="I591" s="25">
        <v>6000</v>
      </c>
      <c r="J591" s="25">
        <v>6000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f>SUM(K591:O591)</f>
        <v>0</v>
      </c>
      <c r="Q591" s="25">
        <v>0</v>
      </c>
      <c r="R591" s="26">
        <f>IFERROR(Q591/$P591,0)</f>
        <v>0</v>
      </c>
      <c r="S591" s="25">
        <v>0</v>
      </c>
      <c r="T591" s="26">
        <f>IFERROR(S591/$P591,0)</f>
        <v>0</v>
      </c>
      <c r="U591" s="25"/>
      <c r="V591" s="26">
        <f>IFERROR(U591/$P591,0)</f>
        <v>0</v>
      </c>
      <c r="W591" s="25"/>
      <c r="X591" s="26">
        <f>IFERROR(W591/$P591,0)</f>
        <v>0</v>
      </c>
      <c r="Y591" s="25">
        <v>0</v>
      </c>
      <c r="Z591" s="25">
        <v>0</v>
      </c>
    </row>
    <row r="592" spans="1:26" ht="13.9" customHeight="1" x14ac:dyDescent="0.25">
      <c r="A592" s="15">
        <v>8</v>
      </c>
      <c r="B592" s="15">
        <v>6</v>
      </c>
      <c r="D592" s="30"/>
      <c r="E592" s="31"/>
      <c r="F592" s="27" t="s">
        <v>122</v>
      </c>
      <c r="G592" s="28">
        <f t="shared" ref="G592:Q592" si="282">SUM(G589:G591)</f>
        <v>98217.63</v>
      </c>
      <c r="H592" s="28">
        <f t="shared" si="282"/>
        <v>22875</v>
      </c>
      <c r="I592" s="28">
        <f t="shared" si="282"/>
        <v>20000</v>
      </c>
      <c r="J592" s="28">
        <f t="shared" si="282"/>
        <v>24409</v>
      </c>
      <c r="K592" s="28">
        <f t="shared" si="282"/>
        <v>234421</v>
      </c>
      <c r="L592" s="28">
        <f t="shared" si="282"/>
        <v>0</v>
      </c>
      <c r="M592" s="28">
        <f t="shared" si="282"/>
        <v>0</v>
      </c>
      <c r="N592" s="28">
        <f t="shared" si="282"/>
        <v>0</v>
      </c>
      <c r="O592" s="28">
        <f t="shared" si="282"/>
        <v>0</v>
      </c>
      <c r="P592" s="28">
        <f t="shared" si="282"/>
        <v>234421</v>
      </c>
      <c r="Q592" s="28">
        <f t="shared" si="282"/>
        <v>1930</v>
      </c>
      <c r="R592" s="29">
        <f>IFERROR(Q592/$P592,0)</f>
        <v>8.2330507932309813E-3</v>
      </c>
      <c r="S592" s="28">
        <f>SUM(S589:S591)</f>
        <v>0</v>
      </c>
      <c r="T592" s="29">
        <f>IFERROR(S592/$P592,0)</f>
        <v>0</v>
      </c>
      <c r="U592" s="28">
        <f>SUM(U589:U591)</f>
        <v>0</v>
      </c>
      <c r="V592" s="29">
        <f>IFERROR(U592/$P592,0)</f>
        <v>0</v>
      </c>
      <c r="W592" s="28">
        <f>SUM(W589:W591)</f>
        <v>0</v>
      </c>
      <c r="X592" s="29">
        <f>IFERROR(W592/$P592,0)</f>
        <v>0</v>
      </c>
      <c r="Y592" s="28">
        <f>SUM(Y589:Y591)</f>
        <v>0</v>
      </c>
      <c r="Z592" s="28">
        <f>SUM(Z589:Z591)</f>
        <v>0</v>
      </c>
    </row>
    <row r="594" spans="1:28" ht="13.9" customHeight="1" x14ac:dyDescent="0.25">
      <c r="D594" s="15" t="s">
        <v>55</v>
      </c>
    </row>
    <row r="595" spans="1:28" ht="13.9" hidden="1" customHeight="1" x14ac:dyDescent="0.25">
      <c r="D595" s="13" t="s">
        <v>290</v>
      </c>
      <c r="E595" s="51" t="s">
        <v>291</v>
      </c>
      <c r="F595" s="30"/>
      <c r="G595" s="52">
        <v>5838.17</v>
      </c>
      <c r="H595" s="52"/>
      <c r="I595" s="52"/>
      <c r="J595" s="52"/>
      <c r="K595" s="52"/>
      <c r="L595" s="52"/>
      <c r="M595" s="52"/>
      <c r="N595" s="52"/>
      <c r="O595" s="52"/>
      <c r="P595" s="52">
        <f>K595+SUM(L595:O595)</f>
        <v>0</v>
      </c>
      <c r="Q595" s="52"/>
      <c r="R595" s="53">
        <f>IFERROR(Q595/$P595,0)</f>
        <v>0</v>
      </c>
      <c r="S595" s="52"/>
      <c r="T595" s="53">
        <f>IFERROR(S595/$P595,0)</f>
        <v>0</v>
      </c>
      <c r="U595" s="52"/>
      <c r="V595" s="53">
        <f>IFERROR(U595/$P595,0)</f>
        <v>0</v>
      </c>
      <c r="W595" s="52"/>
      <c r="X595" s="54">
        <f>IFERROR(W595/$P595,0)</f>
        <v>0</v>
      </c>
      <c r="Y595" s="52"/>
      <c r="Z595" s="55"/>
    </row>
    <row r="596" spans="1:28" ht="13.9" hidden="1" customHeight="1" x14ac:dyDescent="0.25">
      <c r="D596" s="13"/>
      <c r="E596" s="56" t="s">
        <v>292</v>
      </c>
      <c r="F596" s="92"/>
      <c r="G596" s="95">
        <v>21947.46</v>
      </c>
      <c r="H596" s="95"/>
      <c r="I596" s="95"/>
      <c r="J596" s="95"/>
      <c r="K596" s="95"/>
      <c r="L596" s="95"/>
      <c r="M596" s="95"/>
      <c r="N596" s="95"/>
      <c r="O596" s="95"/>
      <c r="P596" s="95">
        <f>K596+SUM(L596:O596)</f>
        <v>0</v>
      </c>
      <c r="Q596" s="95"/>
      <c r="R596" s="96">
        <f>IFERROR(Q596/$P596,0)</f>
        <v>0</v>
      </c>
      <c r="S596" s="95"/>
      <c r="T596" s="96">
        <f>IFERROR(S596/$P596,0)</f>
        <v>0</v>
      </c>
      <c r="U596" s="95"/>
      <c r="V596" s="96">
        <f>IFERROR(U596/$P596,0)</f>
        <v>0</v>
      </c>
      <c r="W596" s="95"/>
      <c r="X596" s="59">
        <f>IFERROR(W596/$P596,0)</f>
        <v>0</v>
      </c>
      <c r="Y596" s="95"/>
      <c r="Z596" s="60"/>
    </row>
    <row r="597" spans="1:28" ht="13.9" customHeight="1" x14ac:dyDescent="0.25">
      <c r="D597" s="13"/>
      <c r="E597" s="168" t="s">
        <v>293</v>
      </c>
      <c r="F597" s="169"/>
      <c r="G597" s="170">
        <v>432</v>
      </c>
      <c r="H597" s="170"/>
      <c r="I597" s="170">
        <v>20000</v>
      </c>
      <c r="J597" s="170">
        <v>18839</v>
      </c>
      <c r="K597" s="170"/>
      <c r="L597" s="170">
        <v>1930</v>
      </c>
      <c r="M597" s="170"/>
      <c r="N597" s="170"/>
      <c r="O597" s="170"/>
      <c r="P597" s="170">
        <f>K597+SUM(L597:O597)</f>
        <v>1930</v>
      </c>
      <c r="Q597" s="170">
        <v>1930</v>
      </c>
      <c r="R597" s="171">
        <f>IFERROR(Q597/$P597,0)</f>
        <v>1</v>
      </c>
      <c r="S597" s="170"/>
      <c r="T597" s="171">
        <f>IFERROR(S597/$P597,0)</f>
        <v>0</v>
      </c>
      <c r="U597" s="170"/>
      <c r="V597" s="171">
        <f>IFERROR(U597/$P597,0)</f>
        <v>0</v>
      </c>
      <c r="W597" s="170"/>
      <c r="X597" s="172">
        <f>IFERROR(W597/$P597,0)</f>
        <v>0</v>
      </c>
      <c r="Y597" s="66"/>
      <c r="Z597" s="69"/>
    </row>
    <row r="598" spans="1:28" ht="13.9" customHeight="1" x14ac:dyDescent="0.25">
      <c r="D598" s="43" t="s">
        <v>294</v>
      </c>
      <c r="E598" s="117" t="s">
        <v>295</v>
      </c>
      <c r="F598" s="128"/>
      <c r="G598" s="129">
        <v>70000</v>
      </c>
      <c r="H598" s="129">
        <v>22875</v>
      </c>
      <c r="I598" s="129"/>
      <c r="J598" s="129"/>
      <c r="K598" s="129">
        <v>234421</v>
      </c>
      <c r="L598" s="129">
        <v>-1930</v>
      </c>
      <c r="M598" s="129"/>
      <c r="N598" s="129"/>
      <c r="O598" s="129"/>
      <c r="P598" s="129">
        <f>K598+SUM(L598:O598)</f>
        <v>232491</v>
      </c>
      <c r="Q598" s="129">
        <v>0</v>
      </c>
      <c r="R598" s="130">
        <f>IFERROR(Q598/$P598,0)</f>
        <v>0</v>
      </c>
      <c r="S598" s="129"/>
      <c r="T598" s="130">
        <f>IFERROR(S598/$P598,0)</f>
        <v>0</v>
      </c>
      <c r="U598" s="129"/>
      <c r="V598" s="130">
        <f>IFERROR(U598/$P598,0)</f>
        <v>0</v>
      </c>
      <c r="W598" s="129"/>
      <c r="X598" s="131">
        <f>IFERROR(W598/$P598,0)</f>
        <v>0</v>
      </c>
      <c r="Y598" s="129"/>
      <c r="Z598" s="132"/>
    </row>
    <row r="599" spans="1:28" ht="13.9" hidden="1" customHeight="1" x14ac:dyDescent="0.25">
      <c r="D599" s="173" t="s">
        <v>296</v>
      </c>
      <c r="E599" s="174" t="s">
        <v>297</v>
      </c>
      <c r="F599" s="175"/>
      <c r="G599" s="108"/>
      <c r="H599" s="108"/>
      <c r="I599" s="108"/>
      <c r="J599" s="108">
        <v>5570</v>
      </c>
      <c r="K599" s="108"/>
      <c r="L599" s="108"/>
      <c r="M599" s="108"/>
      <c r="N599" s="108"/>
      <c r="O599" s="108"/>
      <c r="P599" s="176">
        <f>K599+SUM(L599:O599)</f>
        <v>0</v>
      </c>
      <c r="Q599" s="108"/>
      <c r="R599" s="177">
        <f>IFERROR(Q599/$P599,0)</f>
        <v>0</v>
      </c>
      <c r="S599" s="108"/>
      <c r="T599" s="177">
        <f>IFERROR(S599/$P599,0)</f>
        <v>0</v>
      </c>
      <c r="U599" s="108"/>
      <c r="V599" s="177">
        <f>IFERROR(U599/$P599,0)</f>
        <v>0</v>
      </c>
      <c r="W599" s="108"/>
      <c r="X599" s="178">
        <f>IFERROR(W599/$P599,0)</f>
        <v>0</v>
      </c>
      <c r="Y599" s="66"/>
      <c r="Z599" s="69"/>
    </row>
    <row r="601" spans="1:28" ht="13.9" customHeight="1" x14ac:dyDescent="0.25">
      <c r="D601" s="41" t="s">
        <v>298</v>
      </c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2"/>
      <c r="S601" s="41"/>
      <c r="T601" s="42"/>
      <c r="U601" s="41"/>
      <c r="V601" s="42"/>
      <c r="W601" s="41"/>
      <c r="X601" s="42"/>
      <c r="Y601" s="41"/>
      <c r="Z601" s="41"/>
    </row>
    <row r="602" spans="1:28" ht="13.9" customHeight="1" x14ac:dyDescent="0.25">
      <c r="D602" s="148"/>
      <c r="E602" s="21"/>
      <c r="F602" s="21"/>
      <c r="G602" s="21" t="s">
        <v>1</v>
      </c>
      <c r="H602" s="21" t="s">
        <v>2</v>
      </c>
      <c r="I602" s="21" t="s">
        <v>3</v>
      </c>
      <c r="J602" s="21" t="s">
        <v>4</v>
      </c>
      <c r="K602" s="21" t="s">
        <v>5</v>
      </c>
      <c r="L602" s="21" t="s">
        <v>6</v>
      </c>
      <c r="M602" s="21" t="s">
        <v>7</v>
      </c>
      <c r="N602" s="21" t="s">
        <v>8</v>
      </c>
      <c r="O602" s="21" t="s">
        <v>9</v>
      </c>
      <c r="P602" s="21" t="s">
        <v>10</v>
      </c>
      <c r="Q602" s="21" t="s">
        <v>11</v>
      </c>
      <c r="R602" s="22" t="s">
        <v>12</v>
      </c>
      <c r="S602" s="21" t="s">
        <v>13</v>
      </c>
      <c r="T602" s="22" t="s">
        <v>14</v>
      </c>
      <c r="U602" s="21" t="s">
        <v>15</v>
      </c>
      <c r="V602" s="22" t="s">
        <v>16</v>
      </c>
      <c r="W602" s="21" t="s">
        <v>17</v>
      </c>
      <c r="X602" s="22" t="s">
        <v>18</v>
      </c>
      <c r="Y602" s="21" t="s">
        <v>19</v>
      </c>
      <c r="Z602" s="21" t="s">
        <v>20</v>
      </c>
    </row>
    <row r="603" spans="1:28" ht="13.9" customHeight="1" x14ac:dyDescent="0.25">
      <c r="A603" s="15">
        <v>8</v>
      </c>
      <c r="B603" s="15">
        <v>7</v>
      </c>
      <c r="D603" s="13" t="s">
        <v>21</v>
      </c>
      <c r="E603" s="133" t="s">
        <v>299</v>
      </c>
      <c r="F603" s="24" t="s">
        <v>300</v>
      </c>
      <c r="G603" s="25">
        <v>0</v>
      </c>
      <c r="H603" s="25">
        <v>0</v>
      </c>
      <c r="I603" s="25">
        <v>436175</v>
      </c>
      <c r="J603" s="25">
        <v>432555</v>
      </c>
      <c r="K603" s="25">
        <v>0</v>
      </c>
      <c r="L603" s="25"/>
      <c r="M603" s="25"/>
      <c r="N603" s="25"/>
      <c r="O603" s="25"/>
      <c r="P603" s="25">
        <f>K603+SUM(L603:O603)</f>
        <v>0</v>
      </c>
      <c r="Q603" s="25">
        <v>0</v>
      </c>
      <c r="R603" s="26">
        <f>IFERROR(Q603/$P603,0)</f>
        <v>0</v>
      </c>
      <c r="S603" s="25"/>
      <c r="T603" s="26">
        <f>IFERROR(S603/$P603,0)</f>
        <v>0</v>
      </c>
      <c r="U603" s="25">
        <v>0</v>
      </c>
      <c r="V603" s="26">
        <f>IFERROR(U603/$P603,0)</f>
        <v>0</v>
      </c>
      <c r="W603" s="25">
        <v>0</v>
      </c>
      <c r="X603" s="26">
        <f>IFERROR(W603/$P603,0)</f>
        <v>0</v>
      </c>
      <c r="Y603" s="25">
        <v>0</v>
      </c>
      <c r="Z603" s="25">
        <v>0</v>
      </c>
    </row>
    <row r="604" spans="1:28" ht="13.9" customHeight="1" x14ac:dyDescent="0.25">
      <c r="A604" s="15">
        <v>8</v>
      </c>
      <c r="B604" s="15">
        <v>7</v>
      </c>
      <c r="D604" s="13"/>
      <c r="E604" s="24">
        <v>41</v>
      </c>
      <c r="F604" s="24" t="s">
        <v>23</v>
      </c>
      <c r="G604" s="25">
        <f>SUM(G608)</f>
        <v>10087</v>
      </c>
      <c r="H604" s="25">
        <f>SUM(H608)</f>
        <v>1500</v>
      </c>
      <c r="I604" s="25">
        <f>SUM(I608)-I603</f>
        <v>30000</v>
      </c>
      <c r="J604" s="25">
        <f>SUM(J608)-J603</f>
        <v>12535</v>
      </c>
      <c r="K604" s="25">
        <f t="shared" ref="K604:Q604" si="283">SUM(K608:K609)-K603</f>
        <v>25000</v>
      </c>
      <c r="L604" s="25">
        <f t="shared" si="283"/>
        <v>0</v>
      </c>
      <c r="M604" s="25">
        <f t="shared" si="283"/>
        <v>0</v>
      </c>
      <c r="N604" s="25">
        <f t="shared" si="283"/>
        <v>0</v>
      </c>
      <c r="O604" s="25">
        <f t="shared" si="283"/>
        <v>0</v>
      </c>
      <c r="P604" s="25">
        <f t="shared" si="283"/>
        <v>25000</v>
      </c>
      <c r="Q604" s="25">
        <f t="shared" si="283"/>
        <v>0</v>
      </c>
      <c r="R604" s="26">
        <f>IFERROR(Q604/$P604,0)</f>
        <v>0</v>
      </c>
      <c r="S604" s="25">
        <f>SUM(S608:S609)-S603</f>
        <v>0</v>
      </c>
      <c r="T604" s="26">
        <f>IFERROR(S604/$P604,0)</f>
        <v>0</v>
      </c>
      <c r="U604" s="25">
        <f>SUM(U608:U609)-U603</f>
        <v>0</v>
      </c>
      <c r="V604" s="26">
        <f>IFERROR(U604/$P604,0)</f>
        <v>0</v>
      </c>
      <c r="W604" s="25">
        <f>SUM(W608:W609)-W603</f>
        <v>0</v>
      </c>
      <c r="X604" s="26">
        <f>IFERROR(W604/$P604,0)</f>
        <v>0</v>
      </c>
      <c r="Y604" s="25">
        <f>SUM(Y608:Y609)-Y603</f>
        <v>0</v>
      </c>
      <c r="Z604" s="25">
        <f>SUM(Z608:Z609)-Z603</f>
        <v>0</v>
      </c>
    </row>
    <row r="605" spans="1:28" ht="13.9" customHeight="1" x14ac:dyDescent="0.25">
      <c r="A605" s="15">
        <v>8</v>
      </c>
      <c r="B605" s="15">
        <v>7</v>
      </c>
      <c r="D605" s="30"/>
      <c r="E605" s="31"/>
      <c r="F605" s="27" t="s">
        <v>122</v>
      </c>
      <c r="G605" s="28">
        <f t="shared" ref="G605:Q605" si="284">SUM(G603:G604)</f>
        <v>10087</v>
      </c>
      <c r="H605" s="28">
        <f t="shared" si="284"/>
        <v>1500</v>
      </c>
      <c r="I605" s="28">
        <f t="shared" si="284"/>
        <v>466175</v>
      </c>
      <c r="J605" s="28">
        <f t="shared" si="284"/>
        <v>445090</v>
      </c>
      <c r="K605" s="28">
        <f t="shared" si="284"/>
        <v>25000</v>
      </c>
      <c r="L605" s="28">
        <f t="shared" si="284"/>
        <v>0</v>
      </c>
      <c r="M605" s="28">
        <f t="shared" si="284"/>
        <v>0</v>
      </c>
      <c r="N605" s="28">
        <f t="shared" si="284"/>
        <v>0</v>
      </c>
      <c r="O605" s="28">
        <f t="shared" si="284"/>
        <v>0</v>
      </c>
      <c r="P605" s="28">
        <f t="shared" si="284"/>
        <v>25000</v>
      </c>
      <c r="Q605" s="28">
        <f t="shared" si="284"/>
        <v>0</v>
      </c>
      <c r="R605" s="29">
        <f>IFERROR(Q605/$P605,0)</f>
        <v>0</v>
      </c>
      <c r="S605" s="28">
        <f>SUM(S603:S604)</f>
        <v>0</v>
      </c>
      <c r="T605" s="29">
        <f>IFERROR(S605/$P605,0)</f>
        <v>0</v>
      </c>
      <c r="U605" s="28">
        <f>SUM(U603:U604)</f>
        <v>0</v>
      </c>
      <c r="V605" s="29">
        <f>IFERROR(U605/$P605,0)</f>
        <v>0</v>
      </c>
      <c r="W605" s="28">
        <f>SUM(W603:W604)</f>
        <v>0</v>
      </c>
      <c r="X605" s="29">
        <f>IFERROR(W605/$P605,0)</f>
        <v>0</v>
      </c>
      <c r="Y605" s="28">
        <f>SUM(Y603:Y604)</f>
        <v>0</v>
      </c>
      <c r="Z605" s="28">
        <f>SUM(Z603:Z604)</f>
        <v>0</v>
      </c>
    </row>
    <row r="607" spans="1:28" ht="13.9" customHeight="1" x14ac:dyDescent="0.25">
      <c r="D607" s="15" t="s">
        <v>55</v>
      </c>
    </row>
    <row r="608" spans="1:28" ht="13.9" hidden="1" customHeight="1" x14ac:dyDescent="0.25">
      <c r="D608" s="190" t="s">
        <v>301</v>
      </c>
      <c r="E608" s="137" t="s">
        <v>302</v>
      </c>
      <c r="F608" s="138"/>
      <c r="G608" s="139">
        <v>10087</v>
      </c>
      <c r="H608" s="139">
        <v>1500</v>
      </c>
      <c r="I608" s="139">
        <v>466175</v>
      </c>
      <c r="J608" s="139">
        <v>445090</v>
      </c>
      <c r="K608" s="139"/>
      <c r="L608" s="139"/>
      <c r="M608" s="139"/>
      <c r="N608" s="139"/>
      <c r="O608" s="139"/>
      <c r="P608" s="139">
        <f>K608+SUM(L608:O608)</f>
        <v>0</v>
      </c>
      <c r="Q608" s="139"/>
      <c r="R608" s="140">
        <f>IFERROR(Q608/$P608,0)</f>
        <v>0</v>
      </c>
      <c r="S608" s="139"/>
      <c r="T608" s="140">
        <f>IFERROR(S608/$P608,0)</f>
        <v>0</v>
      </c>
      <c r="U608" s="139"/>
      <c r="V608" s="140">
        <f>IFERROR(U608/$P608,0)</f>
        <v>0</v>
      </c>
      <c r="W608" s="139"/>
      <c r="X608" s="141">
        <f>IFERROR(W608/$P608,0)</f>
        <v>0</v>
      </c>
      <c r="Y608" s="52"/>
      <c r="Z608" s="55"/>
      <c r="AB608" s="179"/>
    </row>
    <row r="609" spans="1:28" ht="13.9" customHeight="1" x14ac:dyDescent="0.25">
      <c r="D609" s="190"/>
      <c r="E609" s="168" t="s">
        <v>303</v>
      </c>
      <c r="F609" s="169"/>
      <c r="G609" s="180"/>
      <c r="H609" s="180"/>
      <c r="I609" s="180"/>
      <c r="J609" s="180"/>
      <c r="K609" s="180">
        <v>25000</v>
      </c>
      <c r="L609" s="180"/>
      <c r="M609" s="180"/>
      <c r="N609" s="180"/>
      <c r="O609" s="180"/>
      <c r="P609" s="180">
        <f>K609+SUM(L609:O609)</f>
        <v>25000</v>
      </c>
      <c r="Q609" s="180">
        <v>0</v>
      </c>
      <c r="R609" s="181">
        <f>IFERROR(Q609/$P609,0)</f>
        <v>0</v>
      </c>
      <c r="S609" s="180"/>
      <c r="T609" s="181">
        <f>IFERROR(S609/$P609,0)</f>
        <v>0</v>
      </c>
      <c r="U609" s="180"/>
      <c r="V609" s="181">
        <f>IFERROR(U609/$P609,0)</f>
        <v>0</v>
      </c>
      <c r="W609" s="180"/>
      <c r="X609" s="182">
        <f>IFERROR(W609/$P609,0)</f>
        <v>0</v>
      </c>
      <c r="Y609" s="66"/>
      <c r="Z609" s="69"/>
      <c r="AB609" s="179"/>
    </row>
    <row r="611" spans="1:28" ht="13.9" customHeight="1" x14ac:dyDescent="0.25">
      <c r="A611" s="15" t="s">
        <v>304</v>
      </c>
      <c r="D611" s="41" t="s">
        <v>305</v>
      </c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2"/>
      <c r="S611" s="41"/>
      <c r="T611" s="42"/>
      <c r="U611" s="41"/>
      <c r="V611" s="42"/>
      <c r="W611" s="41"/>
      <c r="X611" s="42"/>
      <c r="Y611" s="41"/>
      <c r="Z611" s="41"/>
    </row>
    <row r="612" spans="1:28" ht="13.9" customHeight="1" x14ac:dyDescent="0.25">
      <c r="D612" s="148"/>
      <c r="E612" s="21"/>
      <c r="F612" s="21"/>
      <c r="G612" s="21" t="s">
        <v>1</v>
      </c>
      <c r="H612" s="21" t="s">
        <v>2</v>
      </c>
      <c r="I612" s="21" t="s">
        <v>3</v>
      </c>
      <c r="J612" s="21" t="s">
        <v>4</v>
      </c>
      <c r="K612" s="21" t="s">
        <v>5</v>
      </c>
      <c r="L612" s="21" t="s">
        <v>6</v>
      </c>
      <c r="M612" s="21" t="s">
        <v>7</v>
      </c>
      <c r="N612" s="21" t="s">
        <v>8</v>
      </c>
      <c r="O612" s="21" t="s">
        <v>9</v>
      </c>
      <c r="P612" s="21" t="s">
        <v>10</v>
      </c>
      <c r="Q612" s="21" t="s">
        <v>11</v>
      </c>
      <c r="R612" s="22" t="s">
        <v>12</v>
      </c>
      <c r="S612" s="21" t="s">
        <v>13</v>
      </c>
      <c r="T612" s="22" t="s">
        <v>14</v>
      </c>
      <c r="U612" s="21" t="s">
        <v>15</v>
      </c>
      <c r="V612" s="22" t="s">
        <v>16</v>
      </c>
      <c r="W612" s="21" t="s">
        <v>17</v>
      </c>
      <c r="X612" s="22" t="s">
        <v>18</v>
      </c>
      <c r="Y612" s="21" t="s">
        <v>19</v>
      </c>
      <c r="Z612" s="21" t="s">
        <v>20</v>
      </c>
    </row>
    <row r="613" spans="1:28" ht="13.9" customHeight="1" x14ac:dyDescent="0.25">
      <c r="A613" s="15">
        <v>8</v>
      </c>
      <c r="B613" s="15">
        <v>8</v>
      </c>
      <c r="D613" s="135" t="s">
        <v>21</v>
      </c>
      <c r="E613" s="24">
        <v>41</v>
      </c>
      <c r="F613" s="24" t="s">
        <v>23</v>
      </c>
      <c r="G613" s="25">
        <f t="shared" ref="G613:Q613" si="285">SUM(G617)</f>
        <v>8064</v>
      </c>
      <c r="H613" s="25">
        <f t="shared" si="285"/>
        <v>3728</v>
      </c>
      <c r="I613" s="25">
        <f t="shared" si="285"/>
        <v>0</v>
      </c>
      <c r="J613" s="25">
        <f t="shared" si="285"/>
        <v>2700</v>
      </c>
      <c r="K613" s="25">
        <f t="shared" si="285"/>
        <v>2200</v>
      </c>
      <c r="L613" s="25">
        <f t="shared" si="285"/>
        <v>0</v>
      </c>
      <c r="M613" s="25">
        <f t="shared" si="285"/>
        <v>0</v>
      </c>
      <c r="N613" s="25">
        <f t="shared" si="285"/>
        <v>0</v>
      </c>
      <c r="O613" s="25">
        <f t="shared" si="285"/>
        <v>0</v>
      </c>
      <c r="P613" s="25">
        <f t="shared" si="285"/>
        <v>2200</v>
      </c>
      <c r="Q613" s="25">
        <f t="shared" si="285"/>
        <v>1731</v>
      </c>
      <c r="R613" s="26">
        <f>IFERROR(Q613/$P613,0)</f>
        <v>0.78681818181818186</v>
      </c>
      <c r="S613" s="25">
        <f>SUM(S617)</f>
        <v>0</v>
      </c>
      <c r="T613" s="26">
        <f>IFERROR(S613/$P613,0)</f>
        <v>0</v>
      </c>
      <c r="U613" s="25">
        <f>SUM(U617)</f>
        <v>0</v>
      </c>
      <c r="V613" s="26">
        <f>IFERROR(U613/$P613,0)</f>
        <v>0</v>
      </c>
      <c r="W613" s="25">
        <f>SUM(W617)</f>
        <v>0</v>
      </c>
      <c r="X613" s="26">
        <f>IFERROR(W613/$P613,0)</f>
        <v>0</v>
      </c>
      <c r="Y613" s="25">
        <f>SUM(Y617)</f>
        <v>0</v>
      </c>
      <c r="Z613" s="25">
        <f>SUM(Z617)</f>
        <v>0</v>
      </c>
    </row>
    <row r="614" spans="1:28" ht="13.9" customHeight="1" x14ac:dyDescent="0.25">
      <c r="A614" s="15">
        <v>8</v>
      </c>
      <c r="B614" s="15">
        <v>8</v>
      </c>
      <c r="D614" s="30"/>
      <c r="E614" s="31"/>
      <c r="F614" s="27" t="s">
        <v>122</v>
      </c>
      <c r="G614" s="28">
        <f t="shared" ref="G614:Q614" si="286">SUM(G613)</f>
        <v>8064</v>
      </c>
      <c r="H614" s="28">
        <f t="shared" si="286"/>
        <v>3728</v>
      </c>
      <c r="I614" s="28">
        <f t="shared" si="286"/>
        <v>0</v>
      </c>
      <c r="J614" s="28">
        <f t="shared" si="286"/>
        <v>2700</v>
      </c>
      <c r="K614" s="28">
        <f t="shared" si="286"/>
        <v>2200</v>
      </c>
      <c r="L614" s="28">
        <f t="shared" si="286"/>
        <v>0</v>
      </c>
      <c r="M614" s="28">
        <f t="shared" si="286"/>
        <v>0</v>
      </c>
      <c r="N614" s="28">
        <f t="shared" si="286"/>
        <v>0</v>
      </c>
      <c r="O614" s="28">
        <f t="shared" si="286"/>
        <v>0</v>
      </c>
      <c r="P614" s="28">
        <f t="shared" si="286"/>
        <v>2200</v>
      </c>
      <c r="Q614" s="28">
        <f t="shared" si="286"/>
        <v>1731</v>
      </c>
      <c r="R614" s="29">
        <f>IFERROR(Q614/$P614,0)</f>
        <v>0.78681818181818186</v>
      </c>
      <c r="S614" s="28">
        <f>SUM(S613)</f>
        <v>0</v>
      </c>
      <c r="T614" s="29">
        <f>IFERROR(S614/$P614,0)</f>
        <v>0</v>
      </c>
      <c r="U614" s="28">
        <f>SUM(U613)</f>
        <v>0</v>
      </c>
      <c r="V614" s="29">
        <f>IFERROR(U614/$P614,0)</f>
        <v>0</v>
      </c>
      <c r="W614" s="28">
        <f>SUM(W613)</f>
        <v>0</v>
      </c>
      <c r="X614" s="29">
        <f>IFERROR(W614/$P614,0)</f>
        <v>0</v>
      </c>
      <c r="Y614" s="28">
        <f>SUM(Y613)</f>
        <v>0</v>
      </c>
      <c r="Z614" s="28">
        <f>SUM(Z613)</f>
        <v>0</v>
      </c>
    </row>
    <row r="616" spans="1:28" ht="13.9" customHeight="1" x14ac:dyDescent="0.25">
      <c r="D616" s="15" t="s">
        <v>55</v>
      </c>
    </row>
    <row r="617" spans="1:28" ht="13.9" customHeight="1" x14ac:dyDescent="0.25">
      <c r="D617" s="183" t="s">
        <v>306</v>
      </c>
      <c r="E617" s="117" t="s">
        <v>307</v>
      </c>
      <c r="F617" s="128"/>
      <c r="G617" s="129">
        <v>8064</v>
      </c>
      <c r="H617" s="129">
        <v>3728</v>
      </c>
      <c r="I617" s="160"/>
      <c r="J617" s="129">
        <v>2700</v>
      </c>
      <c r="K617" s="160">
        <v>2200</v>
      </c>
      <c r="L617" s="129"/>
      <c r="M617" s="129"/>
      <c r="N617" s="129"/>
      <c r="O617" s="129"/>
      <c r="P617" s="129">
        <f>K617+SUM(L617:O617)</f>
        <v>2200</v>
      </c>
      <c r="Q617" s="129">
        <v>1731</v>
      </c>
      <c r="R617" s="130">
        <f>IFERROR(Q617/$P617,0)</f>
        <v>0.78681818181818186</v>
      </c>
      <c r="S617" s="129"/>
      <c r="T617" s="130">
        <f>IFERROR(S617/$P617,0)</f>
        <v>0</v>
      </c>
      <c r="U617" s="129"/>
      <c r="V617" s="130">
        <f>IFERROR(U617/$P617,0)</f>
        <v>0</v>
      </c>
      <c r="W617" s="129"/>
      <c r="X617" s="131">
        <f>IFERROR(W617/$P617,0)</f>
        <v>0</v>
      </c>
      <c r="Y617" s="129"/>
      <c r="Z617" s="132"/>
    </row>
    <row r="619" spans="1:28" ht="13.9" customHeight="1" x14ac:dyDescent="0.25">
      <c r="D619" s="32" t="s">
        <v>308</v>
      </c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3"/>
      <c r="S619" s="32"/>
      <c r="T619" s="33"/>
      <c r="U619" s="32"/>
      <c r="V619" s="33"/>
      <c r="W619" s="32"/>
      <c r="X619" s="33"/>
      <c r="Y619" s="32"/>
      <c r="Z619" s="32"/>
    </row>
    <row r="620" spans="1:28" ht="13.9" customHeight="1" x14ac:dyDescent="0.25">
      <c r="D620" s="20"/>
      <c r="E620" s="20"/>
      <c r="F620" s="20"/>
      <c r="G620" s="21" t="s">
        <v>1</v>
      </c>
      <c r="H620" s="21" t="s">
        <v>2</v>
      </c>
      <c r="I620" s="21" t="s">
        <v>3</v>
      </c>
      <c r="J620" s="21" t="s">
        <v>4</v>
      </c>
      <c r="K620" s="21" t="s">
        <v>5</v>
      </c>
      <c r="L620" s="21" t="s">
        <v>6</v>
      </c>
      <c r="M620" s="21" t="s">
        <v>7</v>
      </c>
      <c r="N620" s="21" t="s">
        <v>8</v>
      </c>
      <c r="O620" s="21" t="s">
        <v>9</v>
      </c>
      <c r="P620" s="21" t="s">
        <v>10</v>
      </c>
      <c r="Q620" s="21" t="s">
        <v>11</v>
      </c>
      <c r="R620" s="22" t="s">
        <v>12</v>
      </c>
      <c r="S620" s="21" t="s">
        <v>13</v>
      </c>
      <c r="T620" s="22" t="s">
        <v>14</v>
      </c>
      <c r="U620" s="21" t="s">
        <v>15</v>
      </c>
      <c r="V620" s="22" t="s">
        <v>16</v>
      </c>
      <c r="W620" s="21" t="s">
        <v>17</v>
      </c>
      <c r="X620" s="22" t="s">
        <v>18</v>
      </c>
      <c r="Y620" s="21" t="s">
        <v>19</v>
      </c>
      <c r="Z620" s="21" t="s">
        <v>20</v>
      </c>
    </row>
    <row r="621" spans="1:28" ht="13.9" customHeight="1" x14ac:dyDescent="0.25">
      <c r="A621" s="15">
        <v>9</v>
      </c>
      <c r="D621" s="34" t="s">
        <v>21</v>
      </c>
      <c r="E621" s="35">
        <v>71</v>
      </c>
      <c r="F621" s="35" t="s">
        <v>24</v>
      </c>
      <c r="G621" s="36">
        <f t="shared" ref="G621:Q621" si="287">G627</f>
        <v>4020</v>
      </c>
      <c r="H621" s="36">
        <f t="shared" si="287"/>
        <v>45900</v>
      </c>
      <c r="I621" s="36">
        <f t="shared" si="287"/>
        <v>6000</v>
      </c>
      <c r="J621" s="36">
        <f t="shared" si="287"/>
        <v>22518</v>
      </c>
      <c r="K621" s="36">
        <f t="shared" si="287"/>
        <v>1750</v>
      </c>
      <c r="L621" s="36">
        <f t="shared" si="287"/>
        <v>10510</v>
      </c>
      <c r="M621" s="36">
        <f t="shared" si="287"/>
        <v>0</v>
      </c>
      <c r="N621" s="36">
        <f t="shared" si="287"/>
        <v>0</v>
      </c>
      <c r="O621" s="36">
        <f t="shared" si="287"/>
        <v>0</v>
      </c>
      <c r="P621" s="36">
        <f t="shared" si="287"/>
        <v>12260</v>
      </c>
      <c r="Q621" s="36">
        <f t="shared" si="287"/>
        <v>10510</v>
      </c>
      <c r="R621" s="37">
        <f>IFERROR(Q621/$P621,0)</f>
        <v>0.85725938009787928</v>
      </c>
      <c r="S621" s="36">
        <f>S627</f>
        <v>0</v>
      </c>
      <c r="T621" s="37">
        <f>IFERROR(S621/$P621,0)</f>
        <v>0</v>
      </c>
      <c r="U621" s="36">
        <f>U627</f>
        <v>0</v>
      </c>
      <c r="V621" s="37">
        <f>IFERROR(U621/$P621,0)</f>
        <v>0</v>
      </c>
      <c r="W621" s="36">
        <f>W627</f>
        <v>0</v>
      </c>
      <c r="X621" s="37">
        <f>IFERROR(W621/$P621,0)</f>
        <v>0</v>
      </c>
      <c r="Y621" s="36">
        <f>Y627</f>
        <v>0</v>
      </c>
      <c r="Z621" s="36">
        <f>Z627</f>
        <v>0</v>
      </c>
    </row>
    <row r="622" spans="1:28" ht="13.9" customHeight="1" x14ac:dyDescent="0.25">
      <c r="A622" s="15">
        <v>9</v>
      </c>
      <c r="D622" s="30"/>
      <c r="E622" s="31"/>
      <c r="F622" s="38" t="s">
        <v>122</v>
      </c>
      <c r="G622" s="39">
        <f t="shared" ref="G622:Q622" si="288">SUM(G621)</f>
        <v>4020</v>
      </c>
      <c r="H622" s="39">
        <f t="shared" si="288"/>
        <v>45900</v>
      </c>
      <c r="I622" s="39">
        <f t="shared" si="288"/>
        <v>6000</v>
      </c>
      <c r="J622" s="39">
        <f t="shared" si="288"/>
        <v>22518</v>
      </c>
      <c r="K622" s="39">
        <f t="shared" si="288"/>
        <v>1750</v>
      </c>
      <c r="L622" s="39">
        <f t="shared" si="288"/>
        <v>10510</v>
      </c>
      <c r="M622" s="39">
        <f t="shared" si="288"/>
        <v>0</v>
      </c>
      <c r="N622" s="39">
        <f t="shared" si="288"/>
        <v>0</v>
      </c>
      <c r="O622" s="39">
        <f t="shared" si="288"/>
        <v>0</v>
      </c>
      <c r="P622" s="39">
        <f t="shared" si="288"/>
        <v>12260</v>
      </c>
      <c r="Q622" s="39">
        <f t="shared" si="288"/>
        <v>10510</v>
      </c>
      <c r="R622" s="40">
        <f>IFERROR(Q622/$P622,0)</f>
        <v>0.85725938009787928</v>
      </c>
      <c r="S622" s="39">
        <f>SUM(S621)</f>
        <v>0</v>
      </c>
      <c r="T622" s="40">
        <f>IFERROR(S622/$P622,0)</f>
        <v>0</v>
      </c>
      <c r="U622" s="39">
        <f>SUM(U621)</f>
        <v>0</v>
      </c>
      <c r="V622" s="40">
        <f>IFERROR(U622/$P622,0)</f>
        <v>0</v>
      </c>
      <c r="W622" s="39">
        <f>SUM(W621)</f>
        <v>0</v>
      </c>
      <c r="X622" s="40">
        <f>IFERROR(W622/$P622,0)</f>
        <v>0</v>
      </c>
      <c r="Y622" s="39">
        <f>SUM(Y621)</f>
        <v>0</v>
      </c>
      <c r="Z622" s="39">
        <f>SUM(Z621)</f>
        <v>0</v>
      </c>
    </row>
    <row r="624" spans="1:28" ht="13.9" customHeight="1" x14ac:dyDescent="0.25">
      <c r="D624" s="72" t="s">
        <v>309</v>
      </c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3"/>
      <c r="S624" s="72"/>
      <c r="T624" s="73"/>
      <c r="U624" s="72"/>
      <c r="V624" s="73"/>
      <c r="W624" s="72"/>
      <c r="X624" s="73"/>
      <c r="Y624" s="72"/>
      <c r="Z624" s="72"/>
    </row>
    <row r="625" spans="1:26" ht="13.9" customHeight="1" x14ac:dyDescent="0.25">
      <c r="D625" s="21" t="s">
        <v>32</v>
      </c>
      <c r="E625" s="21" t="s">
        <v>33</v>
      </c>
      <c r="F625" s="21" t="s">
        <v>34</v>
      </c>
      <c r="G625" s="21" t="s">
        <v>1</v>
      </c>
      <c r="H625" s="21" t="s">
        <v>2</v>
      </c>
      <c r="I625" s="21" t="s">
        <v>3</v>
      </c>
      <c r="J625" s="21" t="s">
        <v>4</v>
      </c>
      <c r="K625" s="21" t="s">
        <v>5</v>
      </c>
      <c r="L625" s="21" t="s">
        <v>6</v>
      </c>
      <c r="M625" s="21" t="s">
        <v>7</v>
      </c>
      <c r="N625" s="21" t="s">
        <v>8</v>
      </c>
      <c r="O625" s="21" t="s">
        <v>9</v>
      </c>
      <c r="P625" s="21" t="s">
        <v>10</v>
      </c>
      <c r="Q625" s="21" t="s">
        <v>11</v>
      </c>
      <c r="R625" s="22" t="s">
        <v>12</v>
      </c>
      <c r="S625" s="21" t="s">
        <v>13</v>
      </c>
      <c r="T625" s="22" t="s">
        <v>14</v>
      </c>
      <c r="U625" s="21" t="s">
        <v>15</v>
      </c>
      <c r="V625" s="22" t="s">
        <v>16</v>
      </c>
      <c r="W625" s="21" t="s">
        <v>17</v>
      </c>
      <c r="X625" s="22" t="s">
        <v>18</v>
      </c>
      <c r="Y625" s="21" t="s">
        <v>19</v>
      </c>
      <c r="Z625" s="21" t="s">
        <v>20</v>
      </c>
    </row>
    <row r="626" spans="1:26" ht="13.9" customHeight="1" x14ac:dyDescent="0.25">
      <c r="A626" s="15">
        <v>9</v>
      </c>
      <c r="B626" s="15">
        <v>1</v>
      </c>
      <c r="D626" s="84" t="s">
        <v>126</v>
      </c>
      <c r="E626" s="24">
        <v>810</v>
      </c>
      <c r="F626" s="24" t="s">
        <v>310</v>
      </c>
      <c r="G626" s="25">
        <v>4020</v>
      </c>
      <c r="H626" s="25">
        <v>45900</v>
      </c>
      <c r="I626" s="25">
        <v>6000</v>
      </c>
      <c r="J626" s="25">
        <v>22518</v>
      </c>
      <c r="K626" s="25">
        <v>1750</v>
      </c>
      <c r="L626" s="25">
        <v>10510</v>
      </c>
      <c r="M626" s="25"/>
      <c r="N626" s="25"/>
      <c r="O626" s="25"/>
      <c r="P626" s="25">
        <f>K626+SUM(L626:O626)</f>
        <v>12260</v>
      </c>
      <c r="Q626" s="25">
        <v>10510</v>
      </c>
      <c r="R626" s="26">
        <f>IFERROR(Q626/$P626,0)</f>
        <v>0.85725938009787928</v>
      </c>
      <c r="S626" s="25"/>
      <c r="T626" s="26">
        <f>IFERROR(S626/$P626,0)</f>
        <v>0</v>
      </c>
      <c r="U626" s="25">
        <v>0</v>
      </c>
      <c r="V626" s="26">
        <f>IFERROR(U626/$P626,0)</f>
        <v>0</v>
      </c>
      <c r="W626" s="25"/>
      <c r="X626" s="26">
        <f>IFERROR(W626/$P626,0)</f>
        <v>0</v>
      </c>
      <c r="Y626" s="25">
        <v>0</v>
      </c>
      <c r="Z626" s="25">
        <v>0</v>
      </c>
    </row>
    <row r="627" spans="1:26" ht="13.9" customHeight="1" x14ac:dyDescent="0.25">
      <c r="A627" s="15">
        <v>9</v>
      </c>
      <c r="B627" s="15">
        <v>1</v>
      </c>
      <c r="D627" s="79" t="s">
        <v>21</v>
      </c>
      <c r="E627" s="47">
        <v>71</v>
      </c>
      <c r="F627" s="47" t="s">
        <v>24</v>
      </c>
      <c r="G627" s="48">
        <f t="shared" ref="G627:Q628" si="289">SUM(G626)</f>
        <v>4020</v>
      </c>
      <c r="H627" s="48">
        <f t="shared" si="289"/>
        <v>45900</v>
      </c>
      <c r="I627" s="48">
        <f t="shared" si="289"/>
        <v>6000</v>
      </c>
      <c r="J627" s="48">
        <f t="shared" si="289"/>
        <v>22518</v>
      </c>
      <c r="K627" s="48">
        <f t="shared" si="289"/>
        <v>1750</v>
      </c>
      <c r="L627" s="48">
        <f t="shared" si="289"/>
        <v>10510</v>
      </c>
      <c r="M627" s="48">
        <f t="shared" si="289"/>
        <v>0</v>
      </c>
      <c r="N627" s="48">
        <f t="shared" si="289"/>
        <v>0</v>
      </c>
      <c r="O627" s="48">
        <f t="shared" si="289"/>
        <v>0</v>
      </c>
      <c r="P627" s="48">
        <f t="shared" si="289"/>
        <v>12260</v>
      </c>
      <c r="Q627" s="48">
        <f t="shared" si="289"/>
        <v>10510</v>
      </c>
      <c r="R627" s="49">
        <f>IFERROR(Q627/$P627,0)</f>
        <v>0.85725938009787928</v>
      </c>
      <c r="S627" s="48">
        <f>SUM(S626)</f>
        <v>0</v>
      </c>
      <c r="T627" s="49">
        <f>IFERROR(S627/$P627,0)</f>
        <v>0</v>
      </c>
      <c r="U627" s="48">
        <f>SUM(U626)</f>
        <v>0</v>
      </c>
      <c r="V627" s="49">
        <f>IFERROR(U627/$P627,0)</f>
        <v>0</v>
      </c>
      <c r="W627" s="48">
        <f>SUM(W626)</f>
        <v>0</v>
      </c>
      <c r="X627" s="49">
        <f>IFERROR(W627/$P627,0)</f>
        <v>0</v>
      </c>
      <c r="Y627" s="48">
        <f>SUM(Y626)</f>
        <v>0</v>
      </c>
      <c r="Z627" s="48">
        <f>SUM(Z626)</f>
        <v>0</v>
      </c>
    </row>
    <row r="628" spans="1:26" ht="13.9" customHeight="1" x14ac:dyDescent="0.25">
      <c r="A628" s="15">
        <v>9</v>
      </c>
      <c r="B628" s="15">
        <v>1</v>
      </c>
      <c r="D628" s="86"/>
      <c r="E628" s="87"/>
      <c r="F628" s="27" t="s">
        <v>122</v>
      </c>
      <c r="G628" s="28">
        <f t="shared" si="289"/>
        <v>4020</v>
      </c>
      <c r="H628" s="28">
        <f t="shared" si="289"/>
        <v>45900</v>
      </c>
      <c r="I628" s="28">
        <f t="shared" si="289"/>
        <v>6000</v>
      </c>
      <c r="J628" s="28">
        <f t="shared" si="289"/>
        <v>22518</v>
      </c>
      <c r="K628" s="28">
        <f t="shared" si="289"/>
        <v>1750</v>
      </c>
      <c r="L628" s="28">
        <f t="shared" si="289"/>
        <v>10510</v>
      </c>
      <c r="M628" s="28">
        <f t="shared" si="289"/>
        <v>0</v>
      </c>
      <c r="N628" s="28">
        <f t="shared" si="289"/>
        <v>0</v>
      </c>
      <c r="O628" s="28">
        <f t="shared" si="289"/>
        <v>0</v>
      </c>
      <c r="P628" s="28">
        <f t="shared" si="289"/>
        <v>12260</v>
      </c>
      <c r="Q628" s="28">
        <f t="shared" si="289"/>
        <v>10510</v>
      </c>
      <c r="R628" s="29">
        <f>IFERROR(Q628/$P628,0)</f>
        <v>0.85725938009787928</v>
      </c>
      <c r="S628" s="28">
        <f>SUM(S627)</f>
        <v>0</v>
      </c>
      <c r="T628" s="29">
        <f>IFERROR(S628/$P628,0)</f>
        <v>0</v>
      </c>
      <c r="U628" s="28">
        <f>SUM(U627)</f>
        <v>0</v>
      </c>
      <c r="V628" s="29">
        <f>IFERROR(U628/$P628,0)</f>
        <v>0</v>
      </c>
      <c r="W628" s="28">
        <f>SUM(W627)</f>
        <v>0</v>
      </c>
      <c r="X628" s="29">
        <f>IFERROR(W628/$P628,0)</f>
        <v>0</v>
      </c>
      <c r="Y628" s="28">
        <f>SUM(Y627)</f>
        <v>0</v>
      </c>
      <c r="Z628" s="28">
        <f>SUM(Z627)</f>
        <v>0</v>
      </c>
    </row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  <row r="1048567" ht="12.75" customHeight="1" x14ac:dyDescent="0.25"/>
    <row r="1048568" ht="12.75" customHeight="1" x14ac:dyDescent="0.25"/>
    <row r="1048569" ht="12.75" customHeight="1" x14ac:dyDescent="0.25"/>
    <row r="1048570" ht="12.75" customHeight="1" x14ac:dyDescent="0.25"/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71">
    <mergeCell ref="D608:D609"/>
    <mergeCell ref="D578:D579"/>
    <mergeCell ref="D580:D583"/>
    <mergeCell ref="D589:D591"/>
    <mergeCell ref="D595:D597"/>
    <mergeCell ref="D603:D604"/>
    <mergeCell ref="D549:D550"/>
    <mergeCell ref="D554:D556"/>
    <mergeCell ref="D560:D561"/>
    <mergeCell ref="D565:D568"/>
    <mergeCell ref="D573:D574"/>
    <mergeCell ref="D506:D507"/>
    <mergeCell ref="D520:D522"/>
    <mergeCell ref="D535:D536"/>
    <mergeCell ref="D540:D542"/>
    <mergeCell ref="D543:D545"/>
    <mergeCell ref="D460:D462"/>
    <mergeCell ref="D467:D469"/>
    <mergeCell ref="D471:D474"/>
    <mergeCell ref="D486:D488"/>
    <mergeCell ref="D490:D493"/>
    <mergeCell ref="D389:D390"/>
    <mergeCell ref="D406:D408"/>
    <mergeCell ref="D419:D420"/>
    <mergeCell ref="D425:D426"/>
    <mergeCell ref="D453:D455"/>
    <mergeCell ref="D340:D341"/>
    <mergeCell ref="D343:D345"/>
    <mergeCell ref="D353:D354"/>
    <mergeCell ref="D359:D360"/>
    <mergeCell ref="D367:D369"/>
    <mergeCell ref="D268:D270"/>
    <mergeCell ref="D277:D278"/>
    <mergeCell ref="D288:D290"/>
    <mergeCell ref="D300:D301"/>
    <mergeCell ref="D323:D324"/>
    <mergeCell ref="D202:D205"/>
    <mergeCell ref="D220:D222"/>
    <mergeCell ref="D239:D241"/>
    <mergeCell ref="D243:D246"/>
    <mergeCell ref="D260:D263"/>
    <mergeCell ref="D153:D155"/>
    <mergeCell ref="D159:Z159"/>
    <mergeCell ref="D161:D163"/>
    <mergeCell ref="D191:D193"/>
    <mergeCell ref="D198:D200"/>
    <mergeCell ref="D118:D121"/>
    <mergeCell ref="D127:Z127"/>
    <mergeCell ref="D136:Z136"/>
    <mergeCell ref="D141:D142"/>
    <mergeCell ref="D151:Z151"/>
    <mergeCell ref="D87:D89"/>
    <mergeCell ref="D91:D94"/>
    <mergeCell ref="D106:Z106"/>
    <mergeCell ref="D112:Z112"/>
    <mergeCell ref="D114:D116"/>
    <mergeCell ref="D59:Z59"/>
    <mergeCell ref="D61:D63"/>
    <mergeCell ref="D69:Z69"/>
    <mergeCell ref="D73:D74"/>
    <mergeCell ref="D85:Z85"/>
    <mergeCell ref="D34:Z34"/>
    <mergeCell ref="D36:D39"/>
    <mergeCell ref="D45:Z45"/>
    <mergeCell ref="D47:D48"/>
    <mergeCell ref="D50:D53"/>
    <mergeCell ref="D3:D17"/>
    <mergeCell ref="D20:Z20"/>
    <mergeCell ref="D22:D24"/>
    <mergeCell ref="D27:Z27"/>
    <mergeCell ref="D29:D31"/>
  </mergeCells>
  <printOptions horizontalCentered="1"/>
  <pageMargins left="0.23611111111111099" right="0.23611111111111099" top="0.3" bottom="0.3" header="0.511811023622047" footer="0.511811023622047"/>
  <pageSetup paperSize="9" fitToHeight="0" orientation="portrait" horizontalDpi="300" verticalDpi="300"/>
  <rowBreaks count="11" manualBreakCount="11">
    <brk id="19" max="16383" man="1"/>
    <brk id="84" max="16383" man="1"/>
    <brk id="158" max="16383" man="1"/>
    <brk id="188" max="16383" man="1"/>
    <brk id="217" max="16383" man="1"/>
    <brk id="257" max="16383" man="1"/>
    <brk id="350" max="16383" man="1"/>
    <brk id="423" max="16383" man="1"/>
    <brk id="450" max="16383" man="1"/>
    <brk id="517" max="16383" man="1"/>
    <brk id="618" max="16383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9"/>
  <sheetViews>
    <sheetView zoomScale="90" zoomScaleNormal="90" workbookViewId="0">
      <selection activeCell="A8" sqref="A8"/>
    </sheetView>
  </sheetViews>
  <sheetFormatPr defaultColWidth="11.5703125" defaultRowHeight="15" x14ac:dyDescent="0.25"/>
  <cols>
    <col min="1" max="1" width="16.42578125" style="184" customWidth="1"/>
    <col min="2" max="2" width="17.5703125" style="184" customWidth="1"/>
    <col min="3" max="64" width="8.7109375" style="185" customWidth="1"/>
  </cols>
  <sheetData>
    <row r="1" spans="1:2" x14ac:dyDescent="0.25">
      <c r="A1" s="184" t="s">
        <v>311</v>
      </c>
      <c r="B1" s="184" t="s">
        <v>312</v>
      </c>
    </row>
    <row r="2" spans="1:2" x14ac:dyDescent="0.25">
      <c r="A2" s="184" t="s">
        <v>1</v>
      </c>
      <c r="B2" s="184" t="s">
        <v>313</v>
      </c>
    </row>
    <row r="3" spans="1:2" x14ac:dyDescent="0.25">
      <c r="A3" s="184" t="s">
        <v>2</v>
      </c>
      <c r="B3" s="184" t="s">
        <v>314</v>
      </c>
    </row>
    <row r="4" spans="1:2" x14ac:dyDescent="0.25">
      <c r="A4" s="184" t="s">
        <v>3</v>
      </c>
      <c r="B4" s="184" t="s">
        <v>315</v>
      </c>
    </row>
    <row r="5" spans="1:2" x14ac:dyDescent="0.25">
      <c r="A5" s="184" t="s">
        <v>4</v>
      </c>
      <c r="B5" s="184" t="s">
        <v>316</v>
      </c>
    </row>
    <row r="6" spans="1:2" x14ac:dyDescent="0.25">
      <c r="A6" s="184" t="s">
        <v>5</v>
      </c>
      <c r="B6" s="184" t="s">
        <v>317</v>
      </c>
    </row>
    <row r="7" spans="1:2" x14ac:dyDescent="0.25">
      <c r="A7" s="184" t="s">
        <v>19</v>
      </c>
      <c r="B7" s="184" t="s">
        <v>318</v>
      </c>
    </row>
    <row r="8" spans="1:2" x14ac:dyDescent="0.25">
      <c r="A8" s="184" t="s">
        <v>20</v>
      </c>
      <c r="B8" s="184" t="s">
        <v>319</v>
      </c>
    </row>
    <row r="9" spans="1:2" x14ac:dyDescent="0.25">
      <c r="A9" s="184" t="s">
        <v>320</v>
      </c>
      <c r="B9" s="184" t="s">
        <v>321</v>
      </c>
    </row>
    <row r="10" spans="1:2" x14ac:dyDescent="0.25">
      <c r="A10" s="184" t="s">
        <v>322</v>
      </c>
      <c r="B10" s="184" t="s">
        <v>323</v>
      </c>
    </row>
    <row r="11" spans="1:2" x14ac:dyDescent="0.25">
      <c r="A11" s="184" t="s">
        <v>324</v>
      </c>
      <c r="B11" s="184" t="s">
        <v>325</v>
      </c>
    </row>
    <row r="12" spans="1:2" x14ac:dyDescent="0.25">
      <c r="A12" s="184" t="s">
        <v>326</v>
      </c>
      <c r="B12" s="184" t="s">
        <v>327</v>
      </c>
    </row>
    <row r="13" spans="1:2" x14ac:dyDescent="0.25">
      <c r="A13" s="184" t="s">
        <v>78</v>
      </c>
      <c r="B13" s="184" t="s">
        <v>328</v>
      </c>
    </row>
    <row r="14" spans="1:2" x14ac:dyDescent="0.25">
      <c r="A14" s="184" t="s">
        <v>33</v>
      </c>
      <c r="B14" s="184" t="s">
        <v>329</v>
      </c>
    </row>
    <row r="15" spans="1:2" x14ac:dyDescent="0.25">
      <c r="A15" s="184" t="s">
        <v>330</v>
      </c>
      <c r="B15" s="184" t="s">
        <v>331</v>
      </c>
    </row>
    <row r="16" spans="1:2" x14ac:dyDescent="0.25">
      <c r="A16" s="184" t="s">
        <v>332</v>
      </c>
      <c r="B16" s="184" t="s">
        <v>333</v>
      </c>
    </row>
    <row r="17" spans="1:2" x14ac:dyDescent="0.25">
      <c r="A17" s="184" t="s">
        <v>32</v>
      </c>
      <c r="B17" s="184" t="s">
        <v>334</v>
      </c>
    </row>
    <row r="18" spans="1:2" x14ac:dyDescent="0.25">
      <c r="A18" s="184" t="s">
        <v>68</v>
      </c>
      <c r="B18" s="184" t="s">
        <v>335</v>
      </c>
    </row>
    <row r="19" spans="1:2" x14ac:dyDescent="0.25">
      <c r="A19" s="184" t="s">
        <v>336</v>
      </c>
      <c r="B19" s="184" t="s">
        <v>337</v>
      </c>
    </row>
    <row r="20" spans="1:2" x14ac:dyDescent="0.25">
      <c r="A20" s="184" t="s">
        <v>338</v>
      </c>
      <c r="B20" s="184" t="s">
        <v>339</v>
      </c>
    </row>
    <row r="21" spans="1:2" x14ac:dyDescent="0.25">
      <c r="A21" s="184" t="s">
        <v>340</v>
      </c>
      <c r="B21" s="184" t="s">
        <v>341</v>
      </c>
    </row>
    <row r="22" spans="1:2" x14ac:dyDescent="0.25">
      <c r="A22" s="184" t="s">
        <v>342</v>
      </c>
      <c r="B22" s="184" t="s">
        <v>343</v>
      </c>
    </row>
    <row r="23" spans="1:2" x14ac:dyDescent="0.25">
      <c r="A23" s="184" t="s">
        <v>116</v>
      </c>
      <c r="B23" s="184" t="s">
        <v>344</v>
      </c>
    </row>
    <row r="24" spans="1:2" x14ac:dyDescent="0.25">
      <c r="A24" s="184" t="s">
        <v>35</v>
      </c>
      <c r="B24" s="184" t="s">
        <v>345</v>
      </c>
    </row>
    <row r="25" spans="1:2" x14ac:dyDescent="0.25">
      <c r="A25" s="184" t="s">
        <v>47</v>
      </c>
      <c r="B25" s="184" t="s">
        <v>346</v>
      </c>
    </row>
    <row r="26" spans="1:2" x14ac:dyDescent="0.25">
      <c r="A26" s="184" t="s">
        <v>117</v>
      </c>
      <c r="B26" s="184" t="s">
        <v>347</v>
      </c>
    </row>
    <row r="27" spans="1:2" x14ac:dyDescent="0.25">
      <c r="A27" s="184" t="s">
        <v>118</v>
      </c>
      <c r="B27" s="184" t="s">
        <v>348</v>
      </c>
    </row>
    <row r="28" spans="1:2" x14ac:dyDescent="0.25">
      <c r="A28" s="184" t="s">
        <v>349</v>
      </c>
      <c r="B28" s="184" t="s">
        <v>350</v>
      </c>
    </row>
    <row r="29" spans="1:2" x14ac:dyDescent="0.25">
      <c r="A29" s="184" t="s">
        <v>49</v>
      </c>
      <c r="B29" s="184" t="s">
        <v>351</v>
      </c>
    </row>
    <row r="30" spans="1:2" x14ac:dyDescent="0.25">
      <c r="A30" s="184" t="s">
        <v>236</v>
      </c>
      <c r="B30" s="184" t="s">
        <v>352</v>
      </c>
    </row>
    <row r="31" spans="1:2" x14ac:dyDescent="0.25">
      <c r="B31" s="184" t="s">
        <v>353</v>
      </c>
    </row>
    <row r="32" spans="1:2" x14ac:dyDescent="0.25">
      <c r="A32" s="184" t="s">
        <v>354</v>
      </c>
      <c r="B32" s="184" t="s">
        <v>355</v>
      </c>
    </row>
    <row r="33" spans="1:2" x14ac:dyDescent="0.25">
      <c r="A33" s="184" t="s">
        <v>356</v>
      </c>
      <c r="B33" s="184" t="s">
        <v>357</v>
      </c>
    </row>
    <row r="34" spans="1:2" x14ac:dyDescent="0.25">
      <c r="A34" s="184" t="s">
        <v>358</v>
      </c>
      <c r="B34" s="184" t="s">
        <v>359</v>
      </c>
    </row>
    <row r="35" spans="1:2" x14ac:dyDescent="0.25">
      <c r="A35" s="184" t="s">
        <v>360</v>
      </c>
      <c r="B35" s="184" t="s">
        <v>361</v>
      </c>
    </row>
    <row r="36" spans="1:2" x14ac:dyDescent="0.25">
      <c r="A36" s="184" t="s">
        <v>362</v>
      </c>
      <c r="B36" s="184" t="s">
        <v>363</v>
      </c>
    </row>
    <row r="37" spans="1:2" x14ac:dyDescent="0.25">
      <c r="A37" s="184" t="s">
        <v>364</v>
      </c>
      <c r="B37" s="184" t="s">
        <v>365</v>
      </c>
    </row>
    <row r="38" spans="1:2" x14ac:dyDescent="0.25">
      <c r="A38" s="184" t="s">
        <v>366</v>
      </c>
      <c r="B38" s="184" t="s">
        <v>367</v>
      </c>
    </row>
    <row r="39" spans="1:2" x14ac:dyDescent="0.25">
      <c r="A39" s="184" t="s">
        <v>368</v>
      </c>
      <c r="B39" s="184" t="s">
        <v>369</v>
      </c>
    </row>
  </sheetData>
  <pageMargins left="0.39374999999999999" right="0.39374999999999999" top="0.39374999999999999" bottom="0.39374999999999999" header="0.511811023622047" footer="0.511811023622047"/>
  <pageSetup paperSize="9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9200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</vt:lpstr>
      <vt:lpstr>výdaje</vt:lpstr>
      <vt:lpstr>skratky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2026 - Obec Nesluša (čerpanie a úpravy)</dc:title>
  <dc:subject>Čerpanie a úpravy rozpočtu obce Nesluša</dc:subject>
  <dc:creator>Matej Tabaček</dc:creator>
  <cp:keywords>rozpočet čerpanie úpravy obec Nesluša 2026</cp:keywords>
  <dc:description>Schválený 18. 11. 2025 uznesením č. VI-5/2025
Úpravy:
RO č. 1-1/2026 z 19. 01. 2026 schválené starostkou obce;
RO č. 1-1/2026 z 01. 03. 2026 schválené starostkou obce.</dc:description>
  <cp:lastModifiedBy>Matej Tabaček</cp:lastModifiedBy>
  <cp:revision>570</cp:revision>
  <cp:lastPrinted>2026-04-28T07:27:18Z</cp:lastPrinted>
  <dcterms:created xsi:type="dcterms:W3CDTF">2016-11-16T13:19:48Z</dcterms:created>
  <dcterms:modified xsi:type="dcterms:W3CDTF">2026-04-28T05:29:18Z</dcterms:modified>
  <dc:language>sk-SK</dc:language>
</cp:coreProperties>
</file>