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5\cerpanie\"/>
    </mc:Choice>
  </mc:AlternateContent>
  <xr:revisionPtr revIDLastSave="0" documentId="13_ncr:1_{70144596-DE78-4680-BCED-7CCC7931CD9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629" i="2" l="1"/>
  <c r="Z628" i="2"/>
  <c r="Z629" i="2" s="1"/>
  <c r="Y628" i="2"/>
  <c r="Y629" i="2" s="1"/>
  <c r="W628" i="2"/>
  <c r="W629" i="2" s="1"/>
  <c r="U628" i="2"/>
  <c r="U629" i="2" s="1"/>
  <c r="S628" i="2"/>
  <c r="S629" i="2" s="1"/>
  <c r="Q628" i="2"/>
  <c r="Q629" i="2" s="1"/>
  <c r="O628" i="2"/>
  <c r="O629" i="2" s="1"/>
  <c r="N628" i="2"/>
  <c r="N629" i="2" s="1"/>
  <c r="M628" i="2"/>
  <c r="M629" i="2" s="1"/>
  <c r="L628" i="2"/>
  <c r="K628" i="2"/>
  <c r="K629" i="2" s="1"/>
  <c r="J628" i="2"/>
  <c r="J629" i="2" s="1"/>
  <c r="I628" i="2"/>
  <c r="I629" i="2" s="1"/>
  <c r="H628" i="2"/>
  <c r="H629" i="2" s="1"/>
  <c r="G628" i="2"/>
  <c r="G629" i="2" s="1"/>
  <c r="R627" i="2"/>
  <c r="P627" i="2"/>
  <c r="X627" i="2" s="1"/>
  <c r="Y623" i="2"/>
  <c r="S623" i="2"/>
  <c r="Q623" i="2"/>
  <c r="L623" i="2"/>
  <c r="K623" i="2"/>
  <c r="I623" i="2"/>
  <c r="Y622" i="2"/>
  <c r="W622" i="2"/>
  <c r="W623" i="2" s="1"/>
  <c r="U622" i="2"/>
  <c r="U623" i="2" s="1"/>
  <c r="S622" i="2"/>
  <c r="Q622" i="2"/>
  <c r="O622" i="2"/>
  <c r="O623" i="2" s="1"/>
  <c r="N622" i="2"/>
  <c r="N623" i="2" s="1"/>
  <c r="M622" i="2"/>
  <c r="M623" i="2" s="1"/>
  <c r="L622" i="2"/>
  <c r="K622" i="2"/>
  <c r="I622" i="2"/>
  <c r="H622" i="2"/>
  <c r="H623" i="2" s="1"/>
  <c r="G622" i="2"/>
  <c r="G623" i="2" s="1"/>
  <c r="T618" i="2"/>
  <c r="P618" i="2"/>
  <c r="R618" i="2" s="1"/>
  <c r="V617" i="2"/>
  <c r="P617" i="2"/>
  <c r="X617" i="2" s="1"/>
  <c r="U614" i="2"/>
  <c r="S614" i="2"/>
  <c r="M614" i="2"/>
  <c r="K614" i="2"/>
  <c r="H614" i="2"/>
  <c r="Z613" i="2"/>
  <c r="Z614" i="2" s="1"/>
  <c r="Y613" i="2"/>
  <c r="Y614" i="2" s="1"/>
  <c r="W613" i="2"/>
  <c r="W614" i="2" s="1"/>
  <c r="U613" i="2"/>
  <c r="S613" i="2"/>
  <c r="Q613" i="2"/>
  <c r="Q614" i="2" s="1"/>
  <c r="O613" i="2"/>
  <c r="O614" i="2" s="1"/>
  <c r="N613" i="2"/>
  <c r="N614" i="2" s="1"/>
  <c r="M613" i="2"/>
  <c r="L613" i="2"/>
  <c r="L614" i="2" s="1"/>
  <c r="K613" i="2"/>
  <c r="J613" i="2"/>
  <c r="J614" i="2" s="1"/>
  <c r="I613" i="2"/>
  <c r="I614" i="2" s="1"/>
  <c r="H613" i="2"/>
  <c r="G613" i="2"/>
  <c r="G614" i="2" s="1"/>
  <c r="X609" i="2"/>
  <c r="P609" i="2"/>
  <c r="K609" i="2"/>
  <c r="T608" i="2"/>
  <c r="P608" i="2"/>
  <c r="R608" i="2" s="1"/>
  <c r="S605" i="2"/>
  <c r="Q605" i="2"/>
  <c r="N605" i="2"/>
  <c r="H605" i="2"/>
  <c r="Z604" i="2"/>
  <c r="Z605" i="2" s="1"/>
  <c r="Y604" i="2"/>
  <c r="Y605" i="2" s="1"/>
  <c r="W604" i="2"/>
  <c r="U604" i="2"/>
  <c r="S604" i="2"/>
  <c r="Q604" i="2"/>
  <c r="O604" i="2"/>
  <c r="O605" i="2" s="1"/>
  <c r="N604" i="2"/>
  <c r="M604" i="2"/>
  <c r="M605" i="2" s="1"/>
  <c r="L604" i="2"/>
  <c r="L605" i="2" s="1"/>
  <c r="J604" i="2"/>
  <c r="J605" i="2" s="1"/>
  <c r="I604" i="2"/>
  <c r="I605" i="2" s="1"/>
  <c r="H604" i="2"/>
  <c r="G604" i="2"/>
  <c r="G605" i="2" s="1"/>
  <c r="K603" i="2"/>
  <c r="V599" i="2"/>
  <c r="R599" i="2"/>
  <c r="P599" i="2"/>
  <c r="X599" i="2" s="1"/>
  <c r="T598" i="2"/>
  <c r="P598" i="2"/>
  <c r="V597" i="2"/>
  <c r="P597" i="2"/>
  <c r="X597" i="2" s="1"/>
  <c r="X596" i="2"/>
  <c r="P596" i="2"/>
  <c r="X595" i="2"/>
  <c r="T595" i="2"/>
  <c r="R595" i="2"/>
  <c r="P595" i="2"/>
  <c r="V595" i="2" s="1"/>
  <c r="X594" i="2"/>
  <c r="T594" i="2"/>
  <c r="R594" i="2"/>
  <c r="P594" i="2"/>
  <c r="V594" i="2" s="1"/>
  <c r="Y591" i="2"/>
  <c r="W591" i="2"/>
  <c r="U591" i="2"/>
  <c r="Q591" i="2"/>
  <c r="O591" i="2"/>
  <c r="M591" i="2"/>
  <c r="L591" i="2"/>
  <c r="I591" i="2"/>
  <c r="G591" i="2"/>
  <c r="V590" i="2"/>
  <c r="P590" i="2"/>
  <c r="Z589" i="2"/>
  <c r="Z591" i="2" s="1"/>
  <c r="X589" i="2"/>
  <c r="W589" i="2"/>
  <c r="U589" i="2"/>
  <c r="S589" i="2"/>
  <c r="Q589" i="2"/>
  <c r="P589" i="2"/>
  <c r="V589" i="2" s="1"/>
  <c r="O589" i="2"/>
  <c r="N589" i="2"/>
  <c r="N591" i="2" s="1"/>
  <c r="M589" i="2"/>
  <c r="L589" i="2"/>
  <c r="K589" i="2"/>
  <c r="K591" i="2" s="1"/>
  <c r="J589" i="2"/>
  <c r="J591" i="2" s="1"/>
  <c r="I589" i="2"/>
  <c r="H589" i="2"/>
  <c r="H591" i="2" s="1"/>
  <c r="G589" i="2"/>
  <c r="Z588" i="2"/>
  <c r="Z517" i="2" s="1"/>
  <c r="Y588" i="2"/>
  <c r="Y589" i="2" s="1"/>
  <c r="T588" i="2"/>
  <c r="P588" i="2"/>
  <c r="P584" i="2"/>
  <c r="X583" i="2"/>
  <c r="T583" i="2"/>
  <c r="P583" i="2"/>
  <c r="X582" i="2"/>
  <c r="T582" i="2"/>
  <c r="R582" i="2"/>
  <c r="P582" i="2"/>
  <c r="V582" i="2" s="1"/>
  <c r="X581" i="2"/>
  <c r="T581" i="2"/>
  <c r="R581" i="2"/>
  <c r="P581" i="2"/>
  <c r="V581" i="2" s="1"/>
  <c r="X580" i="2"/>
  <c r="V580" i="2"/>
  <c r="R580" i="2"/>
  <c r="P580" i="2"/>
  <c r="T580" i="2" s="1"/>
  <c r="X579" i="2"/>
  <c r="V579" i="2"/>
  <c r="R579" i="2"/>
  <c r="P579" i="2"/>
  <c r="T579" i="2" s="1"/>
  <c r="V578" i="2"/>
  <c r="P578" i="2"/>
  <c r="K578" i="2"/>
  <c r="Z575" i="2"/>
  <c r="W575" i="2"/>
  <c r="O575" i="2"/>
  <c r="M575" i="2"/>
  <c r="L575" i="2"/>
  <c r="J575" i="2"/>
  <c r="G575" i="2"/>
  <c r="Z574" i="2"/>
  <c r="Y574" i="2"/>
  <c r="Y575" i="2" s="1"/>
  <c r="W574" i="2"/>
  <c r="U574" i="2"/>
  <c r="S574" i="2"/>
  <c r="Q574" i="2"/>
  <c r="O574" i="2"/>
  <c r="N574" i="2"/>
  <c r="N575" i="2" s="1"/>
  <c r="M574" i="2"/>
  <c r="M518" i="2" s="1"/>
  <c r="L574" i="2"/>
  <c r="K574" i="2"/>
  <c r="K575" i="2" s="1"/>
  <c r="J574" i="2"/>
  <c r="I574" i="2"/>
  <c r="H574" i="2"/>
  <c r="H575" i="2" s="1"/>
  <c r="G574" i="2"/>
  <c r="X573" i="2"/>
  <c r="V573" i="2"/>
  <c r="T573" i="2"/>
  <c r="R573" i="2"/>
  <c r="T569" i="2"/>
  <c r="P569" i="2"/>
  <c r="X568" i="2"/>
  <c r="V568" i="2"/>
  <c r="T568" i="2"/>
  <c r="P568" i="2"/>
  <c r="R568" i="2" s="1"/>
  <c r="X567" i="2"/>
  <c r="R567" i="2"/>
  <c r="P567" i="2"/>
  <c r="V567" i="2" s="1"/>
  <c r="X566" i="2"/>
  <c r="T566" i="2"/>
  <c r="R566" i="2"/>
  <c r="P566" i="2"/>
  <c r="V566" i="2" s="1"/>
  <c r="Z563" i="2"/>
  <c r="W563" i="2"/>
  <c r="O563" i="2"/>
  <c r="M563" i="2"/>
  <c r="J563" i="2"/>
  <c r="H563" i="2"/>
  <c r="G563" i="2"/>
  <c r="Z562" i="2"/>
  <c r="Y562" i="2"/>
  <c r="Y563" i="2" s="1"/>
  <c r="W562" i="2"/>
  <c r="U562" i="2"/>
  <c r="U563" i="2" s="1"/>
  <c r="S562" i="2"/>
  <c r="S563" i="2" s="1"/>
  <c r="Q562" i="2"/>
  <c r="O562" i="2"/>
  <c r="N562" i="2"/>
  <c r="N563" i="2" s="1"/>
  <c r="M562" i="2"/>
  <c r="L562" i="2"/>
  <c r="L563" i="2" s="1"/>
  <c r="K562" i="2"/>
  <c r="J562" i="2"/>
  <c r="I562" i="2"/>
  <c r="I563" i="2" s="1"/>
  <c r="H562" i="2"/>
  <c r="G562" i="2"/>
  <c r="K561" i="2"/>
  <c r="X557" i="2"/>
  <c r="R557" i="2"/>
  <c r="P557" i="2"/>
  <c r="V557" i="2" s="1"/>
  <c r="X556" i="2"/>
  <c r="T556" i="2"/>
  <c r="R556" i="2"/>
  <c r="P556" i="2"/>
  <c r="V556" i="2" s="1"/>
  <c r="X555" i="2"/>
  <c r="V555" i="2"/>
  <c r="T555" i="2"/>
  <c r="R555" i="2"/>
  <c r="P555" i="2"/>
  <c r="V554" i="2"/>
  <c r="P554" i="2"/>
  <c r="T554" i="2" s="1"/>
  <c r="V553" i="2"/>
  <c r="R553" i="2"/>
  <c r="P553" i="2"/>
  <c r="T553" i="2" s="1"/>
  <c r="Y550" i="2"/>
  <c r="Q550" i="2"/>
  <c r="N550" i="2"/>
  <c r="I550" i="2"/>
  <c r="H550" i="2"/>
  <c r="Z549" i="2"/>
  <c r="Z550" i="2" s="1"/>
  <c r="Y549" i="2"/>
  <c r="W549" i="2"/>
  <c r="W550" i="2" s="1"/>
  <c r="U549" i="2"/>
  <c r="S549" i="2"/>
  <c r="Q549" i="2"/>
  <c r="O549" i="2"/>
  <c r="N549" i="2"/>
  <c r="M549" i="2"/>
  <c r="M550" i="2" s="1"/>
  <c r="L549" i="2"/>
  <c r="L550" i="2" s="1"/>
  <c r="K549" i="2"/>
  <c r="K550" i="2" s="1"/>
  <c r="J549" i="2"/>
  <c r="J550" i="2" s="1"/>
  <c r="I549" i="2"/>
  <c r="H549" i="2"/>
  <c r="G549" i="2"/>
  <c r="G550" i="2" s="1"/>
  <c r="P545" i="2"/>
  <c r="P544" i="2"/>
  <c r="X543" i="2"/>
  <c r="T543" i="2"/>
  <c r="P543" i="2"/>
  <c r="R543" i="2" s="1"/>
  <c r="X542" i="2"/>
  <c r="P542" i="2"/>
  <c r="V542" i="2" s="1"/>
  <c r="X541" i="2"/>
  <c r="T541" i="2"/>
  <c r="R541" i="2"/>
  <c r="P541" i="2"/>
  <c r="V541" i="2" s="1"/>
  <c r="X540" i="2"/>
  <c r="V540" i="2"/>
  <c r="T540" i="2"/>
  <c r="R540" i="2"/>
  <c r="P540" i="2"/>
  <c r="P539" i="2"/>
  <c r="P538" i="2"/>
  <c r="P537" i="2"/>
  <c r="U534" i="2"/>
  <c r="S534" i="2"/>
  <c r="N534" i="2"/>
  <c r="K534" i="2"/>
  <c r="Z533" i="2"/>
  <c r="Z534" i="2" s="1"/>
  <c r="Y533" i="2"/>
  <c r="Y534" i="2" s="1"/>
  <c r="W533" i="2"/>
  <c r="W534" i="2" s="1"/>
  <c r="U533" i="2"/>
  <c r="S533" i="2"/>
  <c r="Q533" i="2"/>
  <c r="Q534" i="2" s="1"/>
  <c r="O533" i="2"/>
  <c r="O534" i="2" s="1"/>
  <c r="N533" i="2"/>
  <c r="M533" i="2"/>
  <c r="M534" i="2" s="1"/>
  <c r="L533" i="2"/>
  <c r="L534" i="2" s="1"/>
  <c r="K533" i="2"/>
  <c r="J533" i="2"/>
  <c r="J534" i="2" s="1"/>
  <c r="I533" i="2"/>
  <c r="H533" i="2"/>
  <c r="H534" i="2" s="1"/>
  <c r="P532" i="2"/>
  <c r="I532" i="2"/>
  <c r="I534" i="2" s="1"/>
  <c r="G532" i="2"/>
  <c r="G533" i="2" s="1"/>
  <c r="G518" i="2" s="1"/>
  <c r="X528" i="2"/>
  <c r="T528" i="2"/>
  <c r="R528" i="2"/>
  <c r="P528" i="2"/>
  <c r="V528" i="2" s="1"/>
  <c r="Z525" i="2"/>
  <c r="W525" i="2"/>
  <c r="O525" i="2"/>
  <c r="J525" i="2"/>
  <c r="I525" i="2"/>
  <c r="G525" i="2"/>
  <c r="Z524" i="2"/>
  <c r="Y524" i="2"/>
  <c r="Y518" i="2" s="1"/>
  <c r="W524" i="2"/>
  <c r="U524" i="2"/>
  <c r="S524" i="2"/>
  <c r="Q524" i="2"/>
  <c r="P524" i="2"/>
  <c r="O524" i="2"/>
  <c r="N524" i="2"/>
  <c r="M524" i="2"/>
  <c r="M525" i="2" s="1"/>
  <c r="L524" i="2"/>
  <c r="L525" i="2" s="1"/>
  <c r="K524" i="2"/>
  <c r="J524" i="2"/>
  <c r="I524" i="2"/>
  <c r="H524" i="2"/>
  <c r="G524" i="2"/>
  <c r="Z520" i="2"/>
  <c r="M520" i="2"/>
  <c r="Z519" i="2"/>
  <c r="Y519" i="2"/>
  <c r="X519" i="2"/>
  <c r="W519" i="2"/>
  <c r="U519" i="2"/>
  <c r="V519" i="2" s="1"/>
  <c r="T519" i="2"/>
  <c r="S519" i="2"/>
  <c r="Q519" i="2"/>
  <c r="R519" i="2" s="1"/>
  <c r="P519" i="2"/>
  <c r="O519" i="2"/>
  <c r="N519" i="2"/>
  <c r="M519" i="2"/>
  <c r="L519" i="2"/>
  <c r="K519" i="2"/>
  <c r="J519" i="2"/>
  <c r="I519" i="2"/>
  <c r="H519" i="2"/>
  <c r="G519" i="2"/>
  <c r="Z518" i="2"/>
  <c r="W518" i="2"/>
  <c r="Q518" i="2"/>
  <c r="Y517" i="2"/>
  <c r="W517" i="2"/>
  <c r="U517" i="2"/>
  <c r="S517" i="2"/>
  <c r="Q517" i="2"/>
  <c r="O517" i="2"/>
  <c r="N517" i="2"/>
  <c r="M517" i="2"/>
  <c r="L517" i="2"/>
  <c r="J517" i="2"/>
  <c r="I517" i="2"/>
  <c r="H517" i="2"/>
  <c r="Y513" i="2"/>
  <c r="Z513" i="2" s="1"/>
  <c r="X513" i="2"/>
  <c r="R513" i="2"/>
  <c r="P513" i="2"/>
  <c r="T513" i="2" s="1"/>
  <c r="I513" i="2"/>
  <c r="Z512" i="2"/>
  <c r="Y512" i="2"/>
  <c r="X512" i="2"/>
  <c r="V512" i="2"/>
  <c r="P512" i="2"/>
  <c r="T512" i="2" s="1"/>
  <c r="Y511" i="2"/>
  <c r="Z511" i="2" s="1"/>
  <c r="X511" i="2"/>
  <c r="P511" i="2"/>
  <c r="R511" i="2" s="1"/>
  <c r="I511" i="2"/>
  <c r="Y510" i="2"/>
  <c r="Z510" i="2" s="1"/>
  <c r="X510" i="2"/>
  <c r="V510" i="2"/>
  <c r="T510" i="2"/>
  <c r="P510" i="2"/>
  <c r="R510" i="2" s="1"/>
  <c r="W508" i="2"/>
  <c r="M508" i="2"/>
  <c r="H508" i="2"/>
  <c r="G508" i="2"/>
  <c r="Y507" i="2"/>
  <c r="W507" i="2"/>
  <c r="X507" i="2" s="1"/>
  <c r="V507" i="2"/>
  <c r="U507" i="2"/>
  <c r="T507" i="2"/>
  <c r="S507" i="2"/>
  <c r="S508" i="2" s="1"/>
  <c r="R507" i="2"/>
  <c r="Q507" i="2"/>
  <c r="O507" i="2"/>
  <c r="N507" i="2"/>
  <c r="M507" i="2"/>
  <c r="L507" i="2"/>
  <c r="K507" i="2"/>
  <c r="K508" i="2" s="1"/>
  <c r="J507" i="2"/>
  <c r="I507" i="2"/>
  <c r="H507" i="2"/>
  <c r="G507" i="2"/>
  <c r="Z506" i="2"/>
  <c r="Z507" i="2" s="1"/>
  <c r="Y506" i="2"/>
  <c r="X506" i="2"/>
  <c r="V506" i="2"/>
  <c r="T506" i="2"/>
  <c r="R506" i="2"/>
  <c r="P506" i="2"/>
  <c r="P507" i="2" s="1"/>
  <c r="Y505" i="2"/>
  <c r="Y508" i="2" s="1"/>
  <c r="W505" i="2"/>
  <c r="U505" i="2"/>
  <c r="S505" i="2"/>
  <c r="Q505" i="2"/>
  <c r="Q508" i="2" s="1"/>
  <c r="O505" i="2"/>
  <c r="O508" i="2" s="1"/>
  <c r="N505" i="2"/>
  <c r="M505" i="2"/>
  <c r="L505" i="2"/>
  <c r="L508" i="2" s="1"/>
  <c r="K505" i="2"/>
  <c r="J505" i="2"/>
  <c r="J508" i="2" s="1"/>
  <c r="I505" i="2"/>
  <c r="H505" i="2"/>
  <c r="G505" i="2"/>
  <c r="Z504" i="2"/>
  <c r="P504" i="2"/>
  <c r="L504" i="2"/>
  <c r="Z503" i="2"/>
  <c r="V503" i="2"/>
  <c r="P503" i="2"/>
  <c r="R503" i="2" s="1"/>
  <c r="Z502" i="2"/>
  <c r="Y502" i="2"/>
  <c r="X502" i="2"/>
  <c r="V502" i="2"/>
  <c r="T502" i="2"/>
  <c r="R502" i="2"/>
  <c r="P502" i="2"/>
  <c r="Z498" i="2"/>
  <c r="Y498" i="2"/>
  <c r="V498" i="2"/>
  <c r="P498" i="2"/>
  <c r="X498" i="2" s="1"/>
  <c r="Y497" i="2"/>
  <c r="Z497" i="2" s="1"/>
  <c r="P497" i="2"/>
  <c r="Z496" i="2"/>
  <c r="Y496" i="2"/>
  <c r="V496" i="2"/>
  <c r="P496" i="2"/>
  <c r="T496" i="2" s="1"/>
  <c r="N494" i="2"/>
  <c r="I494" i="2"/>
  <c r="Z493" i="2"/>
  <c r="Y493" i="2"/>
  <c r="X493" i="2"/>
  <c r="W493" i="2"/>
  <c r="U493" i="2"/>
  <c r="V493" i="2" s="1"/>
  <c r="S493" i="2"/>
  <c r="Q493" i="2"/>
  <c r="P493" i="2"/>
  <c r="R493" i="2" s="1"/>
  <c r="O493" i="2"/>
  <c r="O461" i="2" s="1"/>
  <c r="O454" i="2" s="1"/>
  <c r="N493" i="2"/>
  <c r="M493" i="2"/>
  <c r="L493" i="2"/>
  <c r="K493" i="2"/>
  <c r="K461" i="2" s="1"/>
  <c r="K454" i="2" s="1"/>
  <c r="J493" i="2"/>
  <c r="I493" i="2"/>
  <c r="H493" i="2"/>
  <c r="G493" i="2"/>
  <c r="G461" i="2" s="1"/>
  <c r="G454" i="2" s="1"/>
  <c r="Z492" i="2"/>
  <c r="X492" i="2"/>
  <c r="T492" i="2"/>
  <c r="R492" i="2"/>
  <c r="P492" i="2"/>
  <c r="V492" i="2" s="1"/>
  <c r="Z491" i="2"/>
  <c r="Z494" i="2" s="1"/>
  <c r="W491" i="2"/>
  <c r="W494" i="2" s="1"/>
  <c r="U491" i="2"/>
  <c r="S491" i="2"/>
  <c r="Q491" i="2"/>
  <c r="O491" i="2"/>
  <c r="O494" i="2" s="1"/>
  <c r="N491" i="2"/>
  <c r="M491" i="2"/>
  <c r="M494" i="2" s="1"/>
  <c r="L491" i="2"/>
  <c r="L494" i="2" s="1"/>
  <c r="J491" i="2"/>
  <c r="I491" i="2"/>
  <c r="H491" i="2"/>
  <c r="H494" i="2" s="1"/>
  <c r="G491" i="2"/>
  <c r="G494" i="2" s="1"/>
  <c r="V490" i="2"/>
  <c r="P490" i="2"/>
  <c r="Z489" i="2"/>
  <c r="Y489" i="2"/>
  <c r="Y491" i="2" s="1"/>
  <c r="Y494" i="2" s="1"/>
  <c r="K489" i="2"/>
  <c r="P488" i="2"/>
  <c r="P487" i="2"/>
  <c r="X483" i="2"/>
  <c r="T483" i="2"/>
  <c r="R483" i="2"/>
  <c r="P483" i="2"/>
  <c r="V483" i="2" s="1"/>
  <c r="Y482" i="2"/>
  <c r="Z482" i="2" s="1"/>
  <c r="V482" i="2"/>
  <c r="P482" i="2"/>
  <c r="T482" i="2" s="1"/>
  <c r="Y481" i="2"/>
  <c r="Z481" i="2" s="1"/>
  <c r="X481" i="2"/>
  <c r="T481" i="2"/>
  <c r="P481" i="2"/>
  <c r="R481" i="2" s="1"/>
  <c r="Z480" i="2"/>
  <c r="Y480" i="2"/>
  <c r="T480" i="2"/>
  <c r="P480" i="2"/>
  <c r="Y479" i="2"/>
  <c r="Z479" i="2" s="1"/>
  <c r="V479" i="2"/>
  <c r="T479" i="2"/>
  <c r="R479" i="2"/>
  <c r="P479" i="2"/>
  <c r="X479" i="2" s="1"/>
  <c r="J477" i="2"/>
  <c r="Y476" i="2"/>
  <c r="Y461" i="2" s="1"/>
  <c r="Y454" i="2" s="1"/>
  <c r="W476" i="2"/>
  <c r="V476" i="2"/>
  <c r="U476" i="2"/>
  <c r="S476" i="2"/>
  <c r="Q476" i="2"/>
  <c r="Q461" i="2" s="1"/>
  <c r="Q454" i="2" s="1"/>
  <c r="P476" i="2"/>
  <c r="P461" i="2" s="1"/>
  <c r="O476" i="2"/>
  <c r="N476" i="2"/>
  <c r="N461" i="2" s="1"/>
  <c r="N454" i="2" s="1"/>
  <c r="M476" i="2"/>
  <c r="L476" i="2"/>
  <c r="K476" i="2"/>
  <c r="J476" i="2"/>
  <c r="I476" i="2"/>
  <c r="I461" i="2" s="1"/>
  <c r="I454" i="2" s="1"/>
  <c r="H476" i="2"/>
  <c r="H477" i="2" s="1"/>
  <c r="G476" i="2"/>
  <c r="Z475" i="2"/>
  <c r="Z476" i="2" s="1"/>
  <c r="Y475" i="2"/>
  <c r="X475" i="2"/>
  <c r="P475" i="2"/>
  <c r="Y474" i="2"/>
  <c r="W474" i="2"/>
  <c r="U474" i="2"/>
  <c r="S474" i="2"/>
  <c r="Q474" i="2"/>
  <c r="O474" i="2"/>
  <c r="O460" i="2" s="1"/>
  <c r="O453" i="2" s="1"/>
  <c r="N474" i="2"/>
  <c r="M474" i="2"/>
  <c r="L474" i="2"/>
  <c r="K474" i="2"/>
  <c r="J474" i="2"/>
  <c r="H474" i="2"/>
  <c r="G474" i="2"/>
  <c r="G460" i="2" s="1"/>
  <c r="G453" i="2" s="1"/>
  <c r="T473" i="2"/>
  <c r="R473" i="2"/>
  <c r="P473" i="2"/>
  <c r="X473" i="2" s="1"/>
  <c r="Z472" i="2"/>
  <c r="Z474" i="2" s="1"/>
  <c r="Z460" i="2" s="1"/>
  <c r="Z453" i="2" s="1"/>
  <c r="Y472" i="2"/>
  <c r="P472" i="2"/>
  <c r="K472" i="2"/>
  <c r="I472" i="2"/>
  <c r="I474" i="2" s="1"/>
  <c r="I460" i="2" s="1"/>
  <c r="V471" i="2"/>
  <c r="P471" i="2"/>
  <c r="X471" i="2" s="1"/>
  <c r="T470" i="2"/>
  <c r="P470" i="2"/>
  <c r="W469" i="2"/>
  <c r="U469" i="2"/>
  <c r="S469" i="2"/>
  <c r="Q469" i="2"/>
  <c r="O469" i="2"/>
  <c r="N469" i="2"/>
  <c r="N477" i="2" s="1"/>
  <c r="M469" i="2"/>
  <c r="L469" i="2"/>
  <c r="K469" i="2"/>
  <c r="J469" i="2"/>
  <c r="I469" i="2"/>
  <c r="H469" i="2"/>
  <c r="G469" i="2"/>
  <c r="Y468" i="2"/>
  <c r="Z468" i="2" s="1"/>
  <c r="V468" i="2"/>
  <c r="P468" i="2"/>
  <c r="X468" i="2" s="1"/>
  <c r="Z467" i="2"/>
  <c r="Y467" i="2"/>
  <c r="X467" i="2"/>
  <c r="T467" i="2"/>
  <c r="P467" i="2"/>
  <c r="V467" i="2" s="1"/>
  <c r="Y466" i="2"/>
  <c r="V466" i="2"/>
  <c r="R466" i="2"/>
  <c r="P466" i="2"/>
  <c r="X466" i="2" s="1"/>
  <c r="Z461" i="2"/>
  <c r="W461" i="2"/>
  <c r="U461" i="2"/>
  <c r="M461" i="2"/>
  <c r="J461" i="2"/>
  <c r="J454" i="2" s="1"/>
  <c r="H461" i="2"/>
  <c r="H454" i="2" s="1"/>
  <c r="U460" i="2"/>
  <c r="N460" i="2"/>
  <c r="N462" i="2" s="1"/>
  <c r="M460" i="2"/>
  <c r="L460" i="2"/>
  <c r="H460" i="2"/>
  <c r="Q459" i="2"/>
  <c r="N459" i="2"/>
  <c r="L459" i="2"/>
  <c r="J459" i="2"/>
  <c r="I459" i="2"/>
  <c r="H459" i="2"/>
  <c r="Z454" i="2"/>
  <c r="W454" i="2"/>
  <c r="U454" i="2"/>
  <c r="M454" i="2"/>
  <c r="U453" i="2"/>
  <c r="N453" i="2"/>
  <c r="M453" i="2"/>
  <c r="L453" i="2"/>
  <c r="H453" i="2"/>
  <c r="Q452" i="2"/>
  <c r="L452" i="2"/>
  <c r="J452" i="2"/>
  <c r="I452" i="2"/>
  <c r="Y448" i="2"/>
  <c r="P448" i="2"/>
  <c r="Y447" i="2"/>
  <c r="Z447" i="2" s="1"/>
  <c r="X447" i="2"/>
  <c r="V447" i="2"/>
  <c r="R447" i="2"/>
  <c r="P447" i="2"/>
  <c r="T447" i="2" s="1"/>
  <c r="Z446" i="2"/>
  <c r="Y446" i="2"/>
  <c r="V446" i="2"/>
  <c r="P446" i="2"/>
  <c r="Z445" i="2"/>
  <c r="P445" i="2"/>
  <c r="W443" i="2"/>
  <c r="X443" i="2" s="1"/>
  <c r="S443" i="2"/>
  <c r="T443" i="2" s="1"/>
  <c r="Q443" i="2"/>
  <c r="O443" i="2"/>
  <c r="L443" i="2"/>
  <c r="K443" i="2"/>
  <c r="G443" i="2"/>
  <c r="W442" i="2"/>
  <c r="U442" i="2"/>
  <c r="S442" i="2"/>
  <c r="Q442" i="2"/>
  <c r="P442" i="2"/>
  <c r="P443" i="2" s="1"/>
  <c r="O442" i="2"/>
  <c r="N442" i="2"/>
  <c r="N443" i="2" s="1"/>
  <c r="M442" i="2"/>
  <c r="M443" i="2" s="1"/>
  <c r="L442" i="2"/>
  <c r="K442" i="2"/>
  <c r="H442" i="2"/>
  <c r="H443" i="2" s="1"/>
  <c r="G442" i="2"/>
  <c r="G424" i="2" s="1"/>
  <c r="P441" i="2"/>
  <c r="K441" i="2"/>
  <c r="J441" i="2"/>
  <c r="J442" i="2" s="1"/>
  <c r="J443" i="2" s="1"/>
  <c r="I441" i="2"/>
  <c r="I442" i="2" s="1"/>
  <c r="I443" i="2" s="1"/>
  <c r="G441" i="2"/>
  <c r="Z437" i="2"/>
  <c r="Y437" i="2"/>
  <c r="T437" i="2"/>
  <c r="P437" i="2"/>
  <c r="Y436" i="2"/>
  <c r="Z436" i="2" s="1"/>
  <c r="T436" i="2"/>
  <c r="R436" i="2"/>
  <c r="P436" i="2"/>
  <c r="X436" i="2" s="1"/>
  <c r="Z435" i="2"/>
  <c r="Y435" i="2"/>
  <c r="X435" i="2"/>
  <c r="P435" i="2"/>
  <c r="Q433" i="2"/>
  <c r="L433" i="2"/>
  <c r="I433" i="2"/>
  <c r="W432" i="2"/>
  <c r="U432" i="2"/>
  <c r="S432" i="2"/>
  <c r="Q432" i="2"/>
  <c r="O432" i="2"/>
  <c r="N432" i="2"/>
  <c r="M432" i="2"/>
  <c r="L432" i="2"/>
  <c r="L424" i="2" s="1"/>
  <c r="K432" i="2"/>
  <c r="J432" i="2"/>
  <c r="J424" i="2" s="1"/>
  <c r="J425" i="2" s="1"/>
  <c r="I432" i="2"/>
  <c r="H432" i="2"/>
  <c r="H424" i="2" s="1"/>
  <c r="G432" i="2"/>
  <c r="Y431" i="2"/>
  <c r="P431" i="2"/>
  <c r="Z430" i="2"/>
  <c r="Y430" i="2"/>
  <c r="W430" i="2"/>
  <c r="W433" i="2" s="1"/>
  <c r="U430" i="2"/>
  <c r="S430" i="2"/>
  <c r="Q430" i="2"/>
  <c r="P430" i="2"/>
  <c r="O430" i="2"/>
  <c r="N430" i="2"/>
  <c r="M430" i="2"/>
  <c r="M433" i="2" s="1"/>
  <c r="L430" i="2"/>
  <c r="K430" i="2"/>
  <c r="J430" i="2"/>
  <c r="I430" i="2"/>
  <c r="H430" i="2"/>
  <c r="G430" i="2"/>
  <c r="G433" i="2" s="1"/>
  <c r="Z429" i="2"/>
  <c r="X429" i="2"/>
  <c r="T429" i="2"/>
  <c r="R429" i="2"/>
  <c r="P429" i="2"/>
  <c r="V429" i="2" s="1"/>
  <c r="I425" i="2"/>
  <c r="G425" i="2"/>
  <c r="S424" i="2"/>
  <c r="Q424" i="2"/>
  <c r="O424" i="2"/>
  <c r="N424" i="2"/>
  <c r="M424" i="2"/>
  <c r="K424" i="2"/>
  <c r="I424" i="2"/>
  <c r="Z423" i="2"/>
  <c r="Y423" i="2"/>
  <c r="W423" i="2"/>
  <c r="U423" i="2"/>
  <c r="Q423" i="2"/>
  <c r="N423" i="2"/>
  <c r="L423" i="2"/>
  <c r="J423" i="2"/>
  <c r="I423" i="2"/>
  <c r="G423" i="2"/>
  <c r="U420" i="2"/>
  <c r="S420" i="2"/>
  <c r="N420" i="2"/>
  <c r="M420" i="2"/>
  <c r="K420" i="2"/>
  <c r="I420" i="2"/>
  <c r="H420" i="2"/>
  <c r="W419" i="2"/>
  <c r="U419" i="2"/>
  <c r="S419" i="2"/>
  <c r="Q419" i="2"/>
  <c r="O419" i="2"/>
  <c r="O420" i="2" s="1"/>
  <c r="N419" i="2"/>
  <c r="M419" i="2"/>
  <c r="L419" i="2"/>
  <c r="L420" i="2" s="1"/>
  <c r="K419" i="2"/>
  <c r="J419" i="2"/>
  <c r="J420" i="2" s="1"/>
  <c r="I419" i="2"/>
  <c r="H419" i="2"/>
  <c r="G419" i="2"/>
  <c r="G420" i="2" s="1"/>
  <c r="Y418" i="2"/>
  <c r="X418" i="2"/>
  <c r="V418" i="2"/>
  <c r="T418" i="2"/>
  <c r="R418" i="2"/>
  <c r="P418" i="2"/>
  <c r="Z417" i="2"/>
  <c r="Y417" i="2"/>
  <c r="X417" i="2"/>
  <c r="P417" i="2"/>
  <c r="Y413" i="2"/>
  <c r="Z413" i="2" s="1"/>
  <c r="P413" i="2"/>
  <c r="Z412" i="2"/>
  <c r="Y412" i="2"/>
  <c r="X412" i="2"/>
  <c r="T412" i="2"/>
  <c r="P412" i="2"/>
  <c r="V412" i="2" s="1"/>
  <c r="Y411" i="2"/>
  <c r="Z411" i="2" s="1"/>
  <c r="V411" i="2"/>
  <c r="R411" i="2"/>
  <c r="P411" i="2"/>
  <c r="X411" i="2" s="1"/>
  <c r="Y410" i="2"/>
  <c r="Z410" i="2" s="1"/>
  <c r="P410" i="2"/>
  <c r="U408" i="2"/>
  <c r="M408" i="2"/>
  <c r="K408" i="2"/>
  <c r="J408" i="2"/>
  <c r="H408" i="2"/>
  <c r="G408" i="2"/>
  <c r="W407" i="2"/>
  <c r="U407" i="2"/>
  <c r="S407" i="2"/>
  <c r="S408" i="2" s="1"/>
  <c r="Q407" i="2"/>
  <c r="O407" i="2"/>
  <c r="O408" i="2" s="1"/>
  <c r="N407" i="2"/>
  <c r="N408" i="2" s="1"/>
  <c r="M407" i="2"/>
  <c r="L407" i="2"/>
  <c r="L408" i="2" s="1"/>
  <c r="K407" i="2"/>
  <c r="J407" i="2"/>
  <c r="I407" i="2"/>
  <c r="H407" i="2"/>
  <c r="G407" i="2"/>
  <c r="Y406" i="2"/>
  <c r="Z406" i="2" s="1"/>
  <c r="X406" i="2"/>
  <c r="V406" i="2"/>
  <c r="R406" i="2"/>
  <c r="P406" i="2"/>
  <c r="T406" i="2" s="1"/>
  <c r="Z405" i="2"/>
  <c r="Y405" i="2"/>
  <c r="V405" i="2"/>
  <c r="T405" i="2"/>
  <c r="P405" i="2"/>
  <c r="Y404" i="2"/>
  <c r="X404" i="2"/>
  <c r="V404" i="2"/>
  <c r="T404" i="2"/>
  <c r="R404" i="2"/>
  <c r="P404" i="2"/>
  <c r="P407" i="2" s="1"/>
  <c r="P408" i="2" s="1"/>
  <c r="R400" i="2"/>
  <c r="P400" i="2"/>
  <c r="P399" i="2"/>
  <c r="S397" i="2"/>
  <c r="N397" i="2"/>
  <c r="K397" i="2"/>
  <c r="H397" i="2"/>
  <c r="Y396" i="2"/>
  <c r="W396" i="2"/>
  <c r="U396" i="2"/>
  <c r="S396" i="2"/>
  <c r="Q396" i="2"/>
  <c r="O396" i="2"/>
  <c r="N396" i="2"/>
  <c r="N388" i="2" s="1"/>
  <c r="M396" i="2"/>
  <c r="L396" i="2"/>
  <c r="K396" i="2"/>
  <c r="J396" i="2"/>
  <c r="J388" i="2" s="1"/>
  <c r="I396" i="2"/>
  <c r="H396" i="2"/>
  <c r="G396" i="2"/>
  <c r="Z395" i="2"/>
  <c r="Z396" i="2" s="1"/>
  <c r="Y395" i="2"/>
  <c r="X395" i="2"/>
  <c r="T395" i="2"/>
  <c r="P395" i="2"/>
  <c r="V395" i="2" s="1"/>
  <c r="Z394" i="2"/>
  <c r="Y394" i="2"/>
  <c r="Y397" i="2" s="1"/>
  <c r="W394" i="2"/>
  <c r="U394" i="2"/>
  <c r="S394" i="2"/>
  <c r="Q394" i="2"/>
  <c r="Q397" i="2" s="1"/>
  <c r="O394" i="2"/>
  <c r="N394" i="2"/>
  <c r="M394" i="2"/>
  <c r="L394" i="2"/>
  <c r="L397" i="2" s="1"/>
  <c r="K394" i="2"/>
  <c r="J394" i="2"/>
  <c r="J387" i="2" s="1"/>
  <c r="I394" i="2"/>
  <c r="I397" i="2" s="1"/>
  <c r="H394" i="2"/>
  <c r="G394" i="2"/>
  <c r="Z393" i="2"/>
  <c r="R393" i="2"/>
  <c r="P393" i="2"/>
  <c r="W388" i="2"/>
  <c r="U388" i="2"/>
  <c r="M388" i="2"/>
  <c r="K388" i="2"/>
  <c r="H388" i="2"/>
  <c r="G388" i="2"/>
  <c r="Y387" i="2"/>
  <c r="S387" i="2"/>
  <c r="N387" i="2"/>
  <c r="N389" i="2" s="1"/>
  <c r="L387" i="2"/>
  <c r="K387" i="2"/>
  <c r="K389" i="2" s="1"/>
  <c r="H387" i="2"/>
  <c r="H389" i="2" s="1"/>
  <c r="Z383" i="2"/>
  <c r="P383" i="2"/>
  <c r="V382" i="2"/>
  <c r="P382" i="2"/>
  <c r="Z381" i="2"/>
  <c r="Z377" i="2" s="1"/>
  <c r="V381" i="2"/>
  <c r="R381" i="2"/>
  <c r="P381" i="2"/>
  <c r="X381" i="2" s="1"/>
  <c r="Q379" i="2"/>
  <c r="N379" i="2"/>
  <c r="L379" i="2"/>
  <c r="H379" i="2"/>
  <c r="Z378" i="2"/>
  <c r="Z379" i="2" s="1"/>
  <c r="W378" i="2"/>
  <c r="W379" i="2" s="1"/>
  <c r="U378" i="2"/>
  <c r="S378" i="2"/>
  <c r="S379" i="2" s="1"/>
  <c r="Q378" i="2"/>
  <c r="P378" i="2"/>
  <c r="O378" i="2"/>
  <c r="O379" i="2" s="1"/>
  <c r="N378" i="2"/>
  <c r="M378" i="2"/>
  <c r="M379" i="2" s="1"/>
  <c r="L378" i="2"/>
  <c r="J378" i="2"/>
  <c r="J379" i="2" s="1"/>
  <c r="H378" i="2"/>
  <c r="G378" i="2"/>
  <c r="G379" i="2" s="1"/>
  <c r="Y377" i="2"/>
  <c r="Y378" i="2" s="1"/>
  <c r="Y379" i="2" s="1"/>
  <c r="T377" i="2"/>
  <c r="P377" i="2"/>
  <c r="K377" i="2"/>
  <c r="K378" i="2" s="1"/>
  <c r="K379" i="2" s="1"/>
  <c r="J377" i="2"/>
  <c r="I377" i="2"/>
  <c r="I378" i="2" s="1"/>
  <c r="I359" i="2" s="1"/>
  <c r="Z373" i="2"/>
  <c r="Y373" i="2"/>
  <c r="X373" i="2"/>
  <c r="T373" i="2"/>
  <c r="P373" i="2"/>
  <c r="V373" i="2" s="1"/>
  <c r="Y372" i="2"/>
  <c r="Z372" i="2" s="1"/>
  <c r="V372" i="2"/>
  <c r="R372" i="2"/>
  <c r="P372" i="2"/>
  <c r="X372" i="2" s="1"/>
  <c r="H370" i="2"/>
  <c r="W369" i="2"/>
  <c r="U369" i="2"/>
  <c r="S369" i="2"/>
  <c r="Q369" i="2"/>
  <c r="O369" i="2"/>
  <c r="N369" i="2"/>
  <c r="M369" i="2"/>
  <c r="M359" i="2" s="1"/>
  <c r="M353" i="2" s="1"/>
  <c r="L369" i="2"/>
  <c r="K369" i="2"/>
  <c r="J369" i="2"/>
  <c r="I369" i="2"/>
  <c r="H369" i="2"/>
  <c r="G369" i="2"/>
  <c r="Y368" i="2"/>
  <c r="Z368" i="2" s="1"/>
  <c r="T368" i="2"/>
  <c r="P368" i="2"/>
  <c r="Y367" i="2"/>
  <c r="Z367" i="2" s="1"/>
  <c r="X367" i="2"/>
  <c r="V367" i="2"/>
  <c r="R367" i="2"/>
  <c r="P367" i="2"/>
  <c r="T367" i="2" s="1"/>
  <c r="Z366" i="2"/>
  <c r="Z369" i="2" s="1"/>
  <c r="Y366" i="2"/>
  <c r="Y369" i="2" s="1"/>
  <c r="Y359" i="2" s="1"/>
  <c r="V366" i="2"/>
  <c r="P366" i="2"/>
  <c r="Y365" i="2"/>
  <c r="Y358" i="2" s="1"/>
  <c r="W365" i="2"/>
  <c r="W370" i="2" s="1"/>
  <c r="U365" i="2"/>
  <c r="U370" i="2" s="1"/>
  <c r="S365" i="2"/>
  <c r="Q365" i="2"/>
  <c r="O365" i="2"/>
  <c r="O370" i="2" s="1"/>
  <c r="N365" i="2"/>
  <c r="M365" i="2"/>
  <c r="L365" i="2"/>
  <c r="K365" i="2"/>
  <c r="K370" i="2" s="1"/>
  <c r="J365" i="2"/>
  <c r="J370" i="2" s="1"/>
  <c r="I365" i="2"/>
  <c r="H365" i="2"/>
  <c r="G365" i="2"/>
  <c r="G370" i="2" s="1"/>
  <c r="Z364" i="2"/>
  <c r="Z365" i="2" s="1"/>
  <c r="P364" i="2"/>
  <c r="W360" i="2"/>
  <c r="W359" i="2"/>
  <c r="S359" i="2"/>
  <c r="Q359" i="2"/>
  <c r="O359" i="2"/>
  <c r="N359" i="2"/>
  <c r="K359" i="2"/>
  <c r="K353" i="2" s="1"/>
  <c r="G359" i="2"/>
  <c r="W358" i="2"/>
  <c r="O358" i="2"/>
  <c r="L358" i="2"/>
  <c r="J358" i="2"/>
  <c r="H358" i="2"/>
  <c r="G358" i="2"/>
  <c r="N353" i="2"/>
  <c r="L352" i="2"/>
  <c r="J352" i="2"/>
  <c r="Q348" i="2"/>
  <c r="I348" i="2"/>
  <c r="H348" i="2"/>
  <c r="Z347" i="2"/>
  <c r="Y347" i="2"/>
  <c r="W347" i="2"/>
  <c r="U347" i="2"/>
  <c r="S347" i="2"/>
  <c r="Q347" i="2"/>
  <c r="O347" i="2"/>
  <c r="N347" i="2"/>
  <c r="N309" i="2" s="1"/>
  <c r="M347" i="2"/>
  <c r="M309" i="2" s="1"/>
  <c r="L347" i="2"/>
  <c r="L309" i="2" s="1"/>
  <c r="K347" i="2"/>
  <c r="J347" i="2"/>
  <c r="J348" i="2" s="1"/>
  <c r="I347" i="2"/>
  <c r="H347" i="2"/>
  <c r="G347" i="2"/>
  <c r="P346" i="2"/>
  <c r="W345" i="2"/>
  <c r="U345" i="2"/>
  <c r="S345" i="2"/>
  <c r="Q345" i="2"/>
  <c r="O345" i="2"/>
  <c r="N345" i="2"/>
  <c r="N348" i="2" s="1"/>
  <c r="M345" i="2"/>
  <c r="M308" i="2" s="1"/>
  <c r="L345" i="2"/>
  <c r="K345" i="2"/>
  <c r="J345" i="2"/>
  <c r="I345" i="2"/>
  <c r="H345" i="2"/>
  <c r="G345" i="2"/>
  <c r="Z344" i="2"/>
  <c r="Z345" i="2" s="1"/>
  <c r="Y344" i="2"/>
  <c r="Y345" i="2" s="1"/>
  <c r="V344" i="2"/>
  <c r="K344" i="2"/>
  <c r="P344" i="2" s="1"/>
  <c r="X343" i="2"/>
  <c r="V343" i="2"/>
  <c r="R343" i="2"/>
  <c r="P343" i="2"/>
  <c r="T343" i="2" s="1"/>
  <c r="P342" i="2"/>
  <c r="Y341" i="2"/>
  <c r="W341" i="2"/>
  <c r="W348" i="2" s="1"/>
  <c r="U341" i="2"/>
  <c r="S341" i="2"/>
  <c r="S348" i="2" s="1"/>
  <c r="Q341" i="2"/>
  <c r="O341" i="2"/>
  <c r="O348" i="2" s="1"/>
  <c r="N341" i="2"/>
  <c r="M341" i="2"/>
  <c r="L341" i="2"/>
  <c r="K341" i="2"/>
  <c r="J341" i="2"/>
  <c r="I341" i="2"/>
  <c r="H341" i="2"/>
  <c r="G341" i="2"/>
  <c r="G348" i="2" s="1"/>
  <c r="Z340" i="2"/>
  <c r="P340" i="2"/>
  <c r="Z339" i="2"/>
  <c r="Z341" i="2" s="1"/>
  <c r="R339" i="2"/>
  <c r="P339" i="2"/>
  <c r="V335" i="2"/>
  <c r="P335" i="2"/>
  <c r="X335" i="2" s="1"/>
  <c r="V334" i="2"/>
  <c r="P334" i="2"/>
  <c r="Y333" i="2"/>
  <c r="Z333" i="2" s="1"/>
  <c r="X333" i="2"/>
  <c r="V333" i="2"/>
  <c r="T333" i="2"/>
  <c r="R333" i="2"/>
  <c r="P333" i="2"/>
  <c r="Z332" i="2"/>
  <c r="Y332" i="2"/>
  <c r="P332" i="2"/>
  <c r="S330" i="2"/>
  <c r="Q330" i="2"/>
  <c r="N330" i="2"/>
  <c r="L330" i="2"/>
  <c r="I330" i="2"/>
  <c r="W329" i="2"/>
  <c r="X329" i="2" s="1"/>
  <c r="U329" i="2"/>
  <c r="S329" i="2"/>
  <c r="T329" i="2" s="1"/>
  <c r="Q329" i="2"/>
  <c r="P329" i="2"/>
  <c r="O329" i="2"/>
  <c r="N329" i="2"/>
  <c r="M329" i="2"/>
  <c r="M330" i="2" s="1"/>
  <c r="L329" i="2"/>
  <c r="K329" i="2"/>
  <c r="J329" i="2"/>
  <c r="I329" i="2"/>
  <c r="H329" i="2"/>
  <c r="H308" i="2" s="1"/>
  <c r="G329" i="2"/>
  <c r="Y328" i="2"/>
  <c r="P328" i="2"/>
  <c r="Z327" i="2"/>
  <c r="Y327" i="2"/>
  <c r="X327" i="2"/>
  <c r="W327" i="2"/>
  <c r="U327" i="2"/>
  <c r="V327" i="2" s="1"/>
  <c r="S327" i="2"/>
  <c r="Q327" i="2"/>
  <c r="P327" i="2"/>
  <c r="O327" i="2"/>
  <c r="O330" i="2" s="1"/>
  <c r="N327" i="2"/>
  <c r="M327" i="2"/>
  <c r="L327" i="2"/>
  <c r="L307" i="2" s="1"/>
  <c r="K327" i="2"/>
  <c r="K330" i="2" s="1"/>
  <c r="J327" i="2"/>
  <c r="J330" i="2" s="1"/>
  <c r="I327" i="2"/>
  <c r="H327" i="2"/>
  <c r="G327" i="2"/>
  <c r="G330" i="2" s="1"/>
  <c r="R326" i="2"/>
  <c r="P326" i="2"/>
  <c r="Y322" i="2"/>
  <c r="Z322" i="2" s="1"/>
  <c r="P322" i="2"/>
  <c r="Z321" i="2"/>
  <c r="Y321" i="2"/>
  <c r="X321" i="2"/>
  <c r="P321" i="2"/>
  <c r="V321" i="2" s="1"/>
  <c r="Z320" i="2"/>
  <c r="Y320" i="2"/>
  <c r="V320" i="2"/>
  <c r="P320" i="2"/>
  <c r="X320" i="2" s="1"/>
  <c r="Y319" i="2"/>
  <c r="Z319" i="2" s="1"/>
  <c r="X319" i="2"/>
  <c r="V319" i="2"/>
  <c r="T319" i="2"/>
  <c r="P319" i="2"/>
  <c r="R319" i="2" s="1"/>
  <c r="W317" i="2"/>
  <c r="U317" i="2"/>
  <c r="O317" i="2"/>
  <c r="M317" i="2"/>
  <c r="J317" i="2"/>
  <c r="H317" i="2"/>
  <c r="G317" i="2"/>
  <c r="Y316" i="2"/>
  <c r="W316" i="2"/>
  <c r="U316" i="2"/>
  <c r="S316" i="2"/>
  <c r="S317" i="2" s="1"/>
  <c r="Q316" i="2"/>
  <c r="O316" i="2"/>
  <c r="N316" i="2"/>
  <c r="N317" i="2" s="1"/>
  <c r="M316" i="2"/>
  <c r="L316" i="2"/>
  <c r="K316" i="2"/>
  <c r="K317" i="2" s="1"/>
  <c r="J316" i="2"/>
  <c r="I316" i="2"/>
  <c r="H316" i="2"/>
  <c r="G316" i="2"/>
  <c r="Y315" i="2"/>
  <c r="Z315" i="2" s="1"/>
  <c r="X315" i="2"/>
  <c r="V315" i="2"/>
  <c r="T315" i="2"/>
  <c r="R315" i="2"/>
  <c r="P315" i="2"/>
  <c r="Y314" i="2"/>
  <c r="Z314" i="2" s="1"/>
  <c r="Z316" i="2" s="1"/>
  <c r="P314" i="2"/>
  <c r="Z309" i="2"/>
  <c r="Y309" i="2"/>
  <c r="W309" i="2"/>
  <c r="S309" i="2"/>
  <c r="Q309" i="2"/>
  <c r="O309" i="2"/>
  <c r="O254" i="2" s="1"/>
  <c r="K309" i="2"/>
  <c r="J309" i="2"/>
  <c r="I309" i="2"/>
  <c r="I254" i="2" s="1"/>
  <c r="H309" i="2"/>
  <c r="G309" i="2"/>
  <c r="U308" i="2"/>
  <c r="S308" i="2"/>
  <c r="O308" i="2"/>
  <c r="N308" i="2"/>
  <c r="N310" i="2" s="1"/>
  <c r="K308" i="2"/>
  <c r="J308" i="2"/>
  <c r="G308" i="2"/>
  <c r="Z307" i="2"/>
  <c r="W307" i="2"/>
  <c r="S307" i="2"/>
  <c r="Q307" i="2"/>
  <c r="O307" i="2"/>
  <c r="N307" i="2"/>
  <c r="J307" i="2"/>
  <c r="J310" i="2" s="1"/>
  <c r="I307" i="2"/>
  <c r="G307" i="2"/>
  <c r="G310" i="2" s="1"/>
  <c r="U303" i="2"/>
  <c r="O303" i="2"/>
  <c r="N303" i="2"/>
  <c r="M303" i="2"/>
  <c r="K303" i="2"/>
  <c r="Y302" i="2"/>
  <c r="Y303" i="2" s="1"/>
  <c r="W302" i="2"/>
  <c r="U302" i="2"/>
  <c r="S302" i="2"/>
  <c r="Q302" i="2"/>
  <c r="O302" i="2"/>
  <c r="N302" i="2"/>
  <c r="M302" i="2"/>
  <c r="L302" i="2"/>
  <c r="L303" i="2" s="1"/>
  <c r="K302" i="2"/>
  <c r="J302" i="2"/>
  <c r="J303" i="2" s="1"/>
  <c r="I302" i="2"/>
  <c r="I303" i="2" s="1"/>
  <c r="H302" i="2"/>
  <c r="H303" i="2" s="1"/>
  <c r="G302" i="2"/>
  <c r="G303" i="2" s="1"/>
  <c r="Y301" i="2"/>
  <c r="Z301" i="2" s="1"/>
  <c r="Z302" i="2" s="1"/>
  <c r="Z303" i="2" s="1"/>
  <c r="V301" i="2"/>
  <c r="T301" i="2"/>
  <c r="R301" i="2"/>
  <c r="P301" i="2"/>
  <c r="P302" i="2" s="1"/>
  <c r="P303" i="2" s="1"/>
  <c r="V303" i="2" s="1"/>
  <c r="Z297" i="2"/>
  <c r="Y297" i="2"/>
  <c r="T297" i="2"/>
  <c r="R297" i="2"/>
  <c r="P297" i="2"/>
  <c r="Y296" i="2"/>
  <c r="Z296" i="2" s="1"/>
  <c r="R296" i="2"/>
  <c r="P296" i="2"/>
  <c r="S294" i="2"/>
  <c r="L294" i="2"/>
  <c r="K294" i="2"/>
  <c r="H294" i="2"/>
  <c r="W293" i="2"/>
  <c r="U293" i="2"/>
  <c r="S293" i="2"/>
  <c r="Q293" i="2"/>
  <c r="O293" i="2"/>
  <c r="N293" i="2"/>
  <c r="M293" i="2"/>
  <c r="L293" i="2"/>
  <c r="K293" i="2"/>
  <c r="J293" i="2"/>
  <c r="I293" i="2"/>
  <c r="H293" i="2"/>
  <c r="G293" i="2"/>
  <c r="Z292" i="2"/>
  <c r="Y292" i="2"/>
  <c r="P292" i="2"/>
  <c r="P293" i="2" s="1"/>
  <c r="Z291" i="2"/>
  <c r="Z293" i="2" s="1"/>
  <c r="Y291" i="2"/>
  <c r="Y293" i="2" s="1"/>
  <c r="V291" i="2"/>
  <c r="P291" i="2"/>
  <c r="X291" i="2" s="1"/>
  <c r="Z290" i="2"/>
  <c r="Z294" i="2" s="1"/>
  <c r="Y290" i="2"/>
  <c r="Y294" i="2" s="1"/>
  <c r="W290" i="2"/>
  <c r="W294" i="2" s="1"/>
  <c r="U290" i="2"/>
  <c r="U294" i="2" s="1"/>
  <c r="S290" i="2"/>
  <c r="Q290" i="2"/>
  <c r="Q294" i="2" s="1"/>
  <c r="O290" i="2"/>
  <c r="O294" i="2" s="1"/>
  <c r="N290" i="2"/>
  <c r="M290" i="2"/>
  <c r="M294" i="2" s="1"/>
  <c r="L290" i="2"/>
  <c r="K290" i="2"/>
  <c r="J290" i="2"/>
  <c r="J294" i="2" s="1"/>
  <c r="I290" i="2"/>
  <c r="I294" i="2" s="1"/>
  <c r="H290" i="2"/>
  <c r="G290" i="2"/>
  <c r="G294" i="2" s="1"/>
  <c r="X289" i="2"/>
  <c r="P289" i="2"/>
  <c r="O285" i="2"/>
  <c r="M285" i="2"/>
  <c r="Y284" i="2"/>
  <c r="Y285" i="2" s="1"/>
  <c r="W284" i="2"/>
  <c r="U284" i="2"/>
  <c r="S284" i="2"/>
  <c r="Q284" i="2"/>
  <c r="O284" i="2"/>
  <c r="N284" i="2"/>
  <c r="N260" i="2" s="1"/>
  <c r="M284" i="2"/>
  <c r="L284" i="2"/>
  <c r="K284" i="2"/>
  <c r="J284" i="2"/>
  <c r="I284" i="2"/>
  <c r="H284" i="2"/>
  <c r="G284" i="2"/>
  <c r="Z283" i="2"/>
  <c r="Z284" i="2" s="1"/>
  <c r="P283" i="2"/>
  <c r="Z282" i="2"/>
  <c r="Z285" i="2" s="1"/>
  <c r="W282" i="2"/>
  <c r="W285" i="2" s="1"/>
  <c r="U282" i="2"/>
  <c r="S282" i="2"/>
  <c r="Q282" i="2"/>
  <c r="P282" i="2"/>
  <c r="O282" i="2"/>
  <c r="N282" i="2"/>
  <c r="M282" i="2"/>
  <c r="L282" i="2"/>
  <c r="L285" i="2" s="1"/>
  <c r="K282" i="2"/>
  <c r="K285" i="2" s="1"/>
  <c r="J282" i="2"/>
  <c r="J259" i="2" s="1"/>
  <c r="I282" i="2"/>
  <c r="I285" i="2" s="1"/>
  <c r="H282" i="2"/>
  <c r="G282" i="2"/>
  <c r="G285" i="2" s="1"/>
  <c r="Z281" i="2"/>
  <c r="Y281" i="2"/>
  <c r="P281" i="2"/>
  <c r="Y280" i="2"/>
  <c r="Z280" i="2" s="1"/>
  <c r="V280" i="2"/>
  <c r="T280" i="2"/>
  <c r="R280" i="2"/>
  <c r="P280" i="2"/>
  <c r="X280" i="2" s="1"/>
  <c r="Z279" i="2"/>
  <c r="Y279" i="2"/>
  <c r="Y282" i="2" s="1"/>
  <c r="R279" i="2"/>
  <c r="P279" i="2"/>
  <c r="Y275" i="2"/>
  <c r="Z275" i="2" s="1"/>
  <c r="P275" i="2"/>
  <c r="J273" i="2"/>
  <c r="H273" i="2"/>
  <c r="W272" i="2"/>
  <c r="U272" i="2"/>
  <c r="S272" i="2"/>
  <c r="Q272" i="2"/>
  <c r="O272" i="2"/>
  <c r="O261" i="2" s="1"/>
  <c r="O253" i="2" s="1"/>
  <c r="N272" i="2"/>
  <c r="N261" i="2" s="1"/>
  <c r="N253" i="2" s="1"/>
  <c r="M272" i="2"/>
  <c r="L272" i="2"/>
  <c r="L261" i="2" s="1"/>
  <c r="L253" i="2" s="1"/>
  <c r="K272" i="2"/>
  <c r="J272" i="2"/>
  <c r="I272" i="2"/>
  <c r="H272" i="2"/>
  <c r="H261" i="2" s="1"/>
  <c r="H253" i="2" s="1"/>
  <c r="G272" i="2"/>
  <c r="G261" i="2" s="1"/>
  <c r="G253" i="2" s="1"/>
  <c r="Y271" i="2"/>
  <c r="Y272" i="2" s="1"/>
  <c r="X271" i="2"/>
  <c r="P271" i="2"/>
  <c r="V271" i="2" s="1"/>
  <c r="Y270" i="2"/>
  <c r="Y260" i="2" s="1"/>
  <c r="W270" i="2"/>
  <c r="U270" i="2"/>
  <c r="S270" i="2"/>
  <c r="S260" i="2" s="1"/>
  <c r="Q270" i="2"/>
  <c r="Q260" i="2" s="1"/>
  <c r="O270" i="2"/>
  <c r="N270" i="2"/>
  <c r="M270" i="2"/>
  <c r="L270" i="2"/>
  <c r="K270" i="2"/>
  <c r="K260" i="2" s="1"/>
  <c r="K252" i="2" s="1"/>
  <c r="J270" i="2"/>
  <c r="J260" i="2" s="1"/>
  <c r="J252" i="2" s="1"/>
  <c r="I270" i="2"/>
  <c r="I260" i="2" s="1"/>
  <c r="H270" i="2"/>
  <c r="G270" i="2"/>
  <c r="Y269" i="2"/>
  <c r="Z269" i="2" s="1"/>
  <c r="V269" i="2"/>
  <c r="T269" i="2"/>
  <c r="R269" i="2"/>
  <c r="P269" i="2"/>
  <c r="X269" i="2" s="1"/>
  <c r="Z268" i="2"/>
  <c r="Z270" i="2" s="1"/>
  <c r="Z260" i="2" s="1"/>
  <c r="Y268" i="2"/>
  <c r="R268" i="2"/>
  <c r="P268" i="2"/>
  <c r="W267" i="2"/>
  <c r="W273" i="2" s="1"/>
  <c r="U267" i="2"/>
  <c r="U273" i="2" s="1"/>
  <c r="S267" i="2"/>
  <c r="S273" i="2" s="1"/>
  <c r="Q267" i="2"/>
  <c r="O267" i="2"/>
  <c r="N267" i="2"/>
  <c r="M267" i="2"/>
  <c r="M273" i="2" s="1"/>
  <c r="L267" i="2"/>
  <c r="K267" i="2"/>
  <c r="J267" i="2"/>
  <c r="I267" i="2"/>
  <c r="I273" i="2" s="1"/>
  <c r="H267" i="2"/>
  <c r="G267" i="2"/>
  <c r="K266" i="2"/>
  <c r="P266" i="2" s="1"/>
  <c r="U262" i="2"/>
  <c r="Y261" i="2"/>
  <c r="Y253" i="2" s="1"/>
  <c r="U261" i="2"/>
  <c r="S261" i="2"/>
  <c r="S253" i="2" s="1"/>
  <c r="Q261" i="2"/>
  <c r="M261" i="2"/>
  <c r="K261" i="2"/>
  <c r="K253" i="2" s="1"/>
  <c r="J261" i="2"/>
  <c r="I261" i="2"/>
  <c r="I253" i="2" s="1"/>
  <c r="U260" i="2"/>
  <c r="O260" i="2"/>
  <c r="O252" i="2" s="1"/>
  <c r="M260" i="2"/>
  <c r="L260" i="2"/>
  <c r="H260" i="2"/>
  <c r="H252" i="2" s="1"/>
  <c r="G260" i="2"/>
  <c r="G252" i="2" s="1"/>
  <c r="W259" i="2"/>
  <c r="U259" i="2"/>
  <c r="S259" i="2"/>
  <c r="Q259" i="2"/>
  <c r="O259" i="2"/>
  <c r="M259" i="2"/>
  <c r="I259" i="2"/>
  <c r="G259" i="2"/>
  <c r="Z254" i="2"/>
  <c r="Y254" i="2"/>
  <c r="W254" i="2"/>
  <c r="S254" i="2"/>
  <c r="Q254" i="2"/>
  <c r="N254" i="2"/>
  <c r="M254" i="2"/>
  <c r="L254" i="2"/>
  <c r="K254" i="2"/>
  <c r="J254" i="2"/>
  <c r="H254" i="2"/>
  <c r="G254" i="2"/>
  <c r="U253" i="2"/>
  <c r="M253" i="2"/>
  <c r="J253" i="2"/>
  <c r="W251" i="2"/>
  <c r="O251" i="2"/>
  <c r="G251" i="2"/>
  <c r="Y247" i="2"/>
  <c r="Z247" i="2" s="1"/>
  <c r="P247" i="2"/>
  <c r="Z246" i="2"/>
  <c r="Y246" i="2"/>
  <c r="X246" i="2"/>
  <c r="P246" i="2"/>
  <c r="V246" i="2" s="1"/>
  <c r="Z245" i="2"/>
  <c r="Y245" i="2"/>
  <c r="V245" i="2"/>
  <c r="P245" i="2"/>
  <c r="X245" i="2" s="1"/>
  <c r="Y244" i="2"/>
  <c r="Z244" i="2" s="1"/>
  <c r="X244" i="2"/>
  <c r="T244" i="2"/>
  <c r="P244" i="2"/>
  <c r="V244" i="2" s="1"/>
  <c r="U242" i="2"/>
  <c r="O242" i="2"/>
  <c r="M242" i="2"/>
  <c r="G242" i="2"/>
  <c r="Y241" i="2"/>
  <c r="Y216" i="2" s="1"/>
  <c r="W241" i="2"/>
  <c r="U241" i="2"/>
  <c r="S241" i="2"/>
  <c r="Q241" i="2"/>
  <c r="O241" i="2"/>
  <c r="N241" i="2"/>
  <c r="M241" i="2"/>
  <c r="L241" i="2"/>
  <c r="L216" i="2" s="1"/>
  <c r="K241" i="2"/>
  <c r="J241" i="2"/>
  <c r="I241" i="2"/>
  <c r="I216" i="2" s="1"/>
  <c r="I217" i="2" s="1"/>
  <c r="H241" i="2"/>
  <c r="G241" i="2"/>
  <c r="Y240" i="2"/>
  <c r="Z240" i="2" s="1"/>
  <c r="Z241" i="2" s="1"/>
  <c r="Z216" i="2" s="1"/>
  <c r="X240" i="2"/>
  <c r="V240" i="2"/>
  <c r="R240" i="2"/>
  <c r="P240" i="2"/>
  <c r="T240" i="2" s="1"/>
  <c r="W239" i="2"/>
  <c r="U239" i="2"/>
  <c r="S239" i="2"/>
  <c r="Q239" i="2"/>
  <c r="O239" i="2"/>
  <c r="N239" i="2"/>
  <c r="M239" i="2"/>
  <c r="L239" i="2"/>
  <c r="J239" i="2"/>
  <c r="H239" i="2"/>
  <c r="G239" i="2"/>
  <c r="X238" i="2"/>
  <c r="T238" i="2"/>
  <c r="P238" i="2"/>
  <c r="V238" i="2" s="1"/>
  <c r="Z237" i="2"/>
  <c r="Z239" i="2" s="1"/>
  <c r="Y237" i="2"/>
  <c r="Y239" i="2" s="1"/>
  <c r="Y242" i="2" s="1"/>
  <c r="K237" i="2"/>
  <c r="K239" i="2" s="1"/>
  <c r="I237" i="2"/>
  <c r="I239" i="2" s="1"/>
  <c r="P236" i="2"/>
  <c r="P235" i="2"/>
  <c r="Z234" i="2"/>
  <c r="Y234" i="2"/>
  <c r="W234" i="2"/>
  <c r="U234" i="2"/>
  <c r="S234" i="2"/>
  <c r="Q234" i="2"/>
  <c r="O234" i="2"/>
  <c r="N234" i="2"/>
  <c r="M234" i="2"/>
  <c r="L234" i="2"/>
  <c r="L214" i="2" s="1"/>
  <c r="K234" i="2"/>
  <c r="K242" i="2" s="1"/>
  <c r="J234" i="2"/>
  <c r="I234" i="2"/>
  <c r="H234" i="2"/>
  <c r="H214" i="2" s="1"/>
  <c r="G234" i="2"/>
  <c r="P233" i="2"/>
  <c r="S229" i="2"/>
  <c r="Q229" i="2"/>
  <c r="L229" i="2"/>
  <c r="K229" i="2"/>
  <c r="I229" i="2"/>
  <c r="W228" i="2"/>
  <c r="W229" i="2" s="1"/>
  <c r="U228" i="2"/>
  <c r="S228" i="2"/>
  <c r="Q228" i="2"/>
  <c r="O228" i="2"/>
  <c r="O229" i="2" s="1"/>
  <c r="N228" i="2"/>
  <c r="N229" i="2" s="1"/>
  <c r="M228" i="2"/>
  <c r="M229" i="2" s="1"/>
  <c r="L228" i="2"/>
  <c r="K228" i="2"/>
  <c r="J228" i="2"/>
  <c r="J229" i="2" s="1"/>
  <c r="J215" i="2" s="1"/>
  <c r="I228" i="2"/>
  <c r="H228" i="2"/>
  <c r="H229" i="2" s="1"/>
  <c r="G228" i="2"/>
  <c r="G229" i="2" s="1"/>
  <c r="Y227" i="2"/>
  <c r="P227" i="2"/>
  <c r="S223" i="2"/>
  <c r="K223" i="2"/>
  <c r="K215" i="2" s="1"/>
  <c r="J223" i="2"/>
  <c r="H223" i="2"/>
  <c r="H215" i="2" s="1"/>
  <c r="W222" i="2"/>
  <c r="U222" i="2"/>
  <c r="U223" i="2" s="1"/>
  <c r="S222" i="2"/>
  <c r="Q222" i="2"/>
  <c r="Q223" i="2" s="1"/>
  <c r="O222" i="2"/>
  <c r="O223" i="2" s="1"/>
  <c r="N222" i="2"/>
  <c r="N223" i="2" s="1"/>
  <c r="N215" i="2" s="1"/>
  <c r="M222" i="2"/>
  <c r="M223" i="2" s="1"/>
  <c r="L222" i="2"/>
  <c r="L223" i="2" s="1"/>
  <c r="K222" i="2"/>
  <c r="J222" i="2"/>
  <c r="I222" i="2"/>
  <c r="I223" i="2" s="1"/>
  <c r="I215" i="2" s="1"/>
  <c r="H222" i="2"/>
  <c r="G222" i="2"/>
  <c r="G223" i="2" s="1"/>
  <c r="Z221" i="2"/>
  <c r="Z222" i="2" s="1"/>
  <c r="Z223" i="2" s="1"/>
  <c r="Y221" i="2"/>
  <c r="Y222" i="2" s="1"/>
  <c r="Y223" i="2" s="1"/>
  <c r="X221" i="2"/>
  <c r="P221" i="2"/>
  <c r="V221" i="2" s="1"/>
  <c r="W216" i="2"/>
  <c r="U216" i="2"/>
  <c r="O216" i="2"/>
  <c r="N216" i="2"/>
  <c r="M216" i="2"/>
  <c r="K216" i="2"/>
  <c r="J216" i="2"/>
  <c r="H216" i="2"/>
  <c r="G216" i="2"/>
  <c r="Q215" i="2"/>
  <c r="O215" i="2"/>
  <c r="O217" i="2" s="1"/>
  <c r="G215" i="2"/>
  <c r="G217" i="2" s="1"/>
  <c r="Y214" i="2"/>
  <c r="W214" i="2"/>
  <c r="U214" i="2"/>
  <c r="Q214" i="2"/>
  <c r="O214" i="2"/>
  <c r="N214" i="2"/>
  <c r="M214" i="2"/>
  <c r="K214" i="2"/>
  <c r="K217" i="2" s="1"/>
  <c r="I214" i="2"/>
  <c r="G214" i="2"/>
  <c r="Z210" i="2"/>
  <c r="Y210" i="2"/>
  <c r="V210" i="2"/>
  <c r="P210" i="2"/>
  <c r="X210" i="2" s="1"/>
  <c r="Y209" i="2"/>
  <c r="Z209" i="2" s="1"/>
  <c r="X209" i="2"/>
  <c r="T209" i="2"/>
  <c r="P209" i="2"/>
  <c r="V209" i="2" s="1"/>
  <c r="Y208" i="2"/>
  <c r="Z208" i="2" s="1"/>
  <c r="X208" i="2"/>
  <c r="V208" i="2"/>
  <c r="R208" i="2"/>
  <c r="P208" i="2"/>
  <c r="T208" i="2" s="1"/>
  <c r="Y207" i="2"/>
  <c r="Z207" i="2" s="1"/>
  <c r="V207" i="2"/>
  <c r="P207" i="2"/>
  <c r="Z206" i="2"/>
  <c r="Y206" i="2"/>
  <c r="V206" i="2"/>
  <c r="T206" i="2"/>
  <c r="R206" i="2"/>
  <c r="P206" i="2"/>
  <c r="X206" i="2" s="1"/>
  <c r="Z205" i="2"/>
  <c r="Y205" i="2"/>
  <c r="P205" i="2"/>
  <c r="S203" i="2"/>
  <c r="Q203" i="2"/>
  <c r="W202" i="2"/>
  <c r="W189" i="2" s="1"/>
  <c r="U202" i="2"/>
  <c r="U189" i="2" s="1"/>
  <c r="S202" i="2"/>
  <c r="Q202" i="2"/>
  <c r="O202" i="2"/>
  <c r="O189" i="2" s="1"/>
  <c r="N202" i="2"/>
  <c r="M202" i="2"/>
  <c r="M203" i="2" s="1"/>
  <c r="L202" i="2"/>
  <c r="K202" i="2"/>
  <c r="J202" i="2"/>
  <c r="I202" i="2"/>
  <c r="H202" i="2"/>
  <c r="G202" i="2"/>
  <c r="G189" i="2" s="1"/>
  <c r="G190" i="2" s="1"/>
  <c r="Y201" i="2"/>
  <c r="Z201" i="2" s="1"/>
  <c r="Z202" i="2" s="1"/>
  <c r="Z189" i="2" s="1"/>
  <c r="R201" i="2"/>
  <c r="P201" i="2"/>
  <c r="Z200" i="2"/>
  <c r="W200" i="2"/>
  <c r="U200" i="2"/>
  <c r="S200" i="2"/>
  <c r="Q200" i="2"/>
  <c r="O200" i="2"/>
  <c r="N200" i="2"/>
  <c r="M200" i="2"/>
  <c r="L200" i="2"/>
  <c r="J200" i="2"/>
  <c r="H200" i="2"/>
  <c r="H188" i="2" s="1"/>
  <c r="G200" i="2"/>
  <c r="T199" i="2"/>
  <c r="P199" i="2"/>
  <c r="Z198" i="2"/>
  <c r="Y198" i="2"/>
  <c r="Y200" i="2" s="1"/>
  <c r="R198" i="2"/>
  <c r="P198" i="2"/>
  <c r="K198" i="2"/>
  <c r="K200" i="2" s="1"/>
  <c r="I198" i="2"/>
  <c r="I200" i="2" s="1"/>
  <c r="I203" i="2" s="1"/>
  <c r="P197" i="2"/>
  <c r="X196" i="2"/>
  <c r="V196" i="2"/>
  <c r="R196" i="2"/>
  <c r="P196" i="2"/>
  <c r="T196" i="2" s="1"/>
  <c r="W195" i="2"/>
  <c r="W187" i="2" s="1"/>
  <c r="U195" i="2"/>
  <c r="S195" i="2"/>
  <c r="Q195" i="2"/>
  <c r="R195" i="2" s="1"/>
  <c r="P195" i="2"/>
  <c r="O195" i="2"/>
  <c r="N195" i="2"/>
  <c r="N203" i="2" s="1"/>
  <c r="M195" i="2"/>
  <c r="L195" i="2"/>
  <c r="L203" i="2" s="1"/>
  <c r="K195" i="2"/>
  <c r="J195" i="2"/>
  <c r="I195" i="2"/>
  <c r="H195" i="2"/>
  <c r="G195" i="2"/>
  <c r="Z194" i="2"/>
  <c r="Z195" i="2" s="1"/>
  <c r="Z203" i="2" s="1"/>
  <c r="Y194" i="2"/>
  <c r="Y195" i="2" s="1"/>
  <c r="P194" i="2"/>
  <c r="W190" i="2"/>
  <c r="I190" i="2"/>
  <c r="S189" i="2"/>
  <c r="N189" i="2"/>
  <c r="M189" i="2"/>
  <c r="L189" i="2"/>
  <c r="K189" i="2"/>
  <c r="J189" i="2"/>
  <c r="I189" i="2"/>
  <c r="H189" i="2"/>
  <c r="Z188" i="2"/>
  <c r="Y188" i="2"/>
  <c r="W188" i="2"/>
  <c r="U188" i="2"/>
  <c r="S188" i="2"/>
  <c r="Q188" i="2"/>
  <c r="O188" i="2"/>
  <c r="N188" i="2"/>
  <c r="M188" i="2"/>
  <c r="L188" i="2"/>
  <c r="J188" i="2"/>
  <c r="J190" i="2" s="1"/>
  <c r="I188" i="2"/>
  <c r="G188" i="2"/>
  <c r="Y187" i="2"/>
  <c r="U187" i="2"/>
  <c r="S187" i="2"/>
  <c r="S190" i="2" s="1"/>
  <c r="Q187" i="2"/>
  <c r="O187" i="2"/>
  <c r="N187" i="2"/>
  <c r="N190" i="2" s="1"/>
  <c r="M187" i="2"/>
  <c r="M190" i="2" s="1"/>
  <c r="L187" i="2"/>
  <c r="K187" i="2"/>
  <c r="J187" i="2"/>
  <c r="I187" i="2"/>
  <c r="G187" i="2"/>
  <c r="Y183" i="2"/>
  <c r="Z183" i="2" s="1"/>
  <c r="P183" i="2"/>
  <c r="X183" i="2" s="1"/>
  <c r="Y182" i="2"/>
  <c r="Z182" i="2" s="1"/>
  <c r="X182" i="2"/>
  <c r="V182" i="2"/>
  <c r="T182" i="2"/>
  <c r="P182" i="2"/>
  <c r="R182" i="2" s="1"/>
  <c r="Z181" i="2"/>
  <c r="Y181" i="2"/>
  <c r="X181" i="2"/>
  <c r="V181" i="2"/>
  <c r="T181" i="2"/>
  <c r="R181" i="2"/>
  <c r="P181" i="2"/>
  <c r="Z180" i="2"/>
  <c r="X180" i="2"/>
  <c r="T180" i="2"/>
  <c r="R180" i="2"/>
  <c r="P180" i="2"/>
  <c r="V180" i="2" s="1"/>
  <c r="Z179" i="2"/>
  <c r="Y179" i="2"/>
  <c r="P179" i="2"/>
  <c r="Y178" i="2"/>
  <c r="Z178" i="2" s="1"/>
  <c r="P178" i="2"/>
  <c r="Z177" i="2"/>
  <c r="Y177" i="2"/>
  <c r="X177" i="2"/>
  <c r="R177" i="2"/>
  <c r="P177" i="2"/>
  <c r="V177" i="2" s="1"/>
  <c r="Y176" i="2"/>
  <c r="Z176" i="2" s="1"/>
  <c r="P176" i="2"/>
  <c r="X176" i="2" s="1"/>
  <c r="Q174" i="2"/>
  <c r="I174" i="2"/>
  <c r="H174" i="2"/>
  <c r="Z173" i="2"/>
  <c r="Y173" i="2"/>
  <c r="W173" i="2"/>
  <c r="X173" i="2" s="1"/>
  <c r="U173" i="2"/>
  <c r="T173" i="2"/>
  <c r="S173" i="2"/>
  <c r="Q173" i="2"/>
  <c r="O173" i="2"/>
  <c r="N173" i="2"/>
  <c r="M173" i="2"/>
  <c r="M157" i="2" s="1"/>
  <c r="L173" i="2"/>
  <c r="L157" i="2" s="1"/>
  <c r="K173" i="2"/>
  <c r="J173" i="2"/>
  <c r="I173" i="2"/>
  <c r="H173" i="2"/>
  <c r="G173" i="2"/>
  <c r="Z172" i="2"/>
  <c r="X172" i="2"/>
  <c r="V172" i="2"/>
  <c r="T172" i="2"/>
  <c r="R172" i="2"/>
  <c r="P172" i="2"/>
  <c r="P173" i="2" s="1"/>
  <c r="R173" i="2" s="1"/>
  <c r="W171" i="2"/>
  <c r="U171" i="2"/>
  <c r="S171" i="2"/>
  <c r="Q171" i="2"/>
  <c r="Q156" i="2" s="1"/>
  <c r="O171" i="2"/>
  <c r="N171" i="2"/>
  <c r="N156" i="2" s="1"/>
  <c r="M171" i="2"/>
  <c r="L171" i="2"/>
  <c r="K171" i="2"/>
  <c r="J171" i="2"/>
  <c r="I171" i="2"/>
  <c r="I156" i="2" s="1"/>
  <c r="H171" i="2"/>
  <c r="G171" i="2"/>
  <c r="X170" i="2"/>
  <c r="V170" i="2"/>
  <c r="T170" i="2"/>
  <c r="P170" i="2"/>
  <c r="R170" i="2" s="1"/>
  <c r="Z169" i="2"/>
  <c r="Y169" i="2"/>
  <c r="X169" i="2"/>
  <c r="V169" i="2"/>
  <c r="T169" i="2"/>
  <c r="R169" i="2"/>
  <c r="P169" i="2"/>
  <c r="Y168" i="2"/>
  <c r="Z168" i="2" s="1"/>
  <c r="V168" i="2"/>
  <c r="T168" i="2"/>
  <c r="P168" i="2"/>
  <c r="R168" i="2" s="1"/>
  <c r="Y167" i="2"/>
  <c r="Z167" i="2" s="1"/>
  <c r="X167" i="2"/>
  <c r="T167" i="2"/>
  <c r="R167" i="2"/>
  <c r="P167" i="2"/>
  <c r="V167" i="2" s="1"/>
  <c r="Z166" i="2"/>
  <c r="Y166" i="2"/>
  <c r="P166" i="2"/>
  <c r="Y165" i="2"/>
  <c r="W165" i="2"/>
  <c r="U165" i="2"/>
  <c r="S165" i="2"/>
  <c r="Q165" i="2"/>
  <c r="O165" i="2"/>
  <c r="N165" i="2"/>
  <c r="N174" i="2" s="1"/>
  <c r="M165" i="2"/>
  <c r="L165" i="2"/>
  <c r="K165" i="2"/>
  <c r="I165" i="2"/>
  <c r="H165" i="2"/>
  <c r="G165" i="2"/>
  <c r="T164" i="2"/>
  <c r="R164" i="2"/>
  <c r="L164" i="2"/>
  <c r="P164" i="2" s="1"/>
  <c r="Y163" i="2"/>
  <c r="Z163" i="2" s="1"/>
  <c r="X163" i="2"/>
  <c r="T163" i="2"/>
  <c r="R163" i="2"/>
  <c r="P163" i="2"/>
  <c r="V163" i="2" s="1"/>
  <c r="Z162" i="2"/>
  <c r="Z165" i="2" s="1"/>
  <c r="Y162" i="2"/>
  <c r="R162" i="2"/>
  <c r="P162" i="2"/>
  <c r="J162" i="2"/>
  <c r="J165" i="2" s="1"/>
  <c r="Z157" i="2"/>
  <c r="Y157" i="2"/>
  <c r="W157" i="2"/>
  <c r="S157" i="2"/>
  <c r="Q157" i="2"/>
  <c r="P157" i="2"/>
  <c r="X157" i="2" s="1"/>
  <c r="O157" i="2"/>
  <c r="N157" i="2"/>
  <c r="K157" i="2"/>
  <c r="J157" i="2"/>
  <c r="I157" i="2"/>
  <c r="H157" i="2"/>
  <c r="G157" i="2"/>
  <c r="U156" i="2"/>
  <c r="S156" i="2"/>
  <c r="M156" i="2"/>
  <c r="L156" i="2"/>
  <c r="K156" i="2"/>
  <c r="J156" i="2"/>
  <c r="H156" i="2"/>
  <c r="Y155" i="2"/>
  <c r="W155" i="2"/>
  <c r="Q155" i="2"/>
  <c r="O155" i="2"/>
  <c r="N155" i="2"/>
  <c r="N158" i="2" s="1"/>
  <c r="I155" i="2"/>
  <c r="H155" i="2"/>
  <c r="H158" i="2" s="1"/>
  <c r="G155" i="2"/>
  <c r="Z151" i="2"/>
  <c r="W151" i="2"/>
  <c r="U151" i="2"/>
  <c r="O151" i="2"/>
  <c r="M151" i="2"/>
  <c r="L151" i="2"/>
  <c r="J151" i="2"/>
  <c r="G151" i="2"/>
  <c r="Z150" i="2"/>
  <c r="Y150" i="2"/>
  <c r="Y151" i="2" s="1"/>
  <c r="W150" i="2"/>
  <c r="U150" i="2"/>
  <c r="S150" i="2"/>
  <c r="S151" i="2" s="1"/>
  <c r="Q150" i="2"/>
  <c r="P150" i="2"/>
  <c r="O150" i="2"/>
  <c r="N150" i="2"/>
  <c r="N151" i="2" s="1"/>
  <c r="M150" i="2"/>
  <c r="L150" i="2"/>
  <c r="K150" i="2"/>
  <c r="K151" i="2" s="1"/>
  <c r="J150" i="2"/>
  <c r="I150" i="2"/>
  <c r="I151" i="2" s="1"/>
  <c r="H150" i="2"/>
  <c r="G150" i="2"/>
  <c r="X149" i="2"/>
  <c r="R149" i="2"/>
  <c r="P149" i="2"/>
  <c r="V149" i="2" s="1"/>
  <c r="X148" i="2"/>
  <c r="V148" i="2"/>
  <c r="T148" i="2"/>
  <c r="R148" i="2"/>
  <c r="P148" i="2"/>
  <c r="P147" i="2"/>
  <c r="Y143" i="2"/>
  <c r="Z143" i="2" s="1"/>
  <c r="P143" i="2"/>
  <c r="Z142" i="2"/>
  <c r="Y142" i="2"/>
  <c r="X142" i="2"/>
  <c r="R142" i="2"/>
  <c r="P142" i="2"/>
  <c r="V142" i="2" s="1"/>
  <c r="Y141" i="2"/>
  <c r="Z141" i="2" s="1"/>
  <c r="V141" i="2"/>
  <c r="P141" i="2"/>
  <c r="X141" i="2" s="1"/>
  <c r="Y140" i="2"/>
  <c r="Z140" i="2" s="1"/>
  <c r="X140" i="2"/>
  <c r="V140" i="2"/>
  <c r="T140" i="2"/>
  <c r="P140" i="2"/>
  <c r="R140" i="2" s="1"/>
  <c r="W138" i="2"/>
  <c r="O138" i="2"/>
  <c r="J138" i="2"/>
  <c r="H138" i="2"/>
  <c r="G138" i="2"/>
  <c r="W137" i="2"/>
  <c r="U137" i="2"/>
  <c r="S137" i="2"/>
  <c r="Q137" i="2"/>
  <c r="O137" i="2"/>
  <c r="N137" i="2"/>
  <c r="M137" i="2"/>
  <c r="L137" i="2"/>
  <c r="K137" i="2"/>
  <c r="J137" i="2"/>
  <c r="I137" i="2"/>
  <c r="H137" i="2"/>
  <c r="G137" i="2"/>
  <c r="Z136" i="2"/>
  <c r="Y136" i="2"/>
  <c r="X136" i="2"/>
  <c r="V136" i="2"/>
  <c r="T136" i="2"/>
  <c r="R136" i="2"/>
  <c r="P136" i="2"/>
  <c r="Y135" i="2"/>
  <c r="Y137" i="2" s="1"/>
  <c r="Y138" i="2" s="1"/>
  <c r="V135" i="2"/>
  <c r="T135" i="2"/>
  <c r="P135" i="2"/>
  <c r="R135" i="2" s="1"/>
  <c r="Z134" i="2"/>
  <c r="Y134" i="2"/>
  <c r="W134" i="2"/>
  <c r="U134" i="2"/>
  <c r="S134" i="2"/>
  <c r="T134" i="2" s="1"/>
  <c r="Q134" i="2"/>
  <c r="R134" i="2" s="1"/>
  <c r="P134" i="2"/>
  <c r="X134" i="2" s="1"/>
  <c r="O134" i="2"/>
  <c r="N134" i="2"/>
  <c r="N138" i="2" s="1"/>
  <c r="M134" i="2"/>
  <c r="M138" i="2" s="1"/>
  <c r="L134" i="2"/>
  <c r="L138" i="2" s="1"/>
  <c r="K134" i="2"/>
  <c r="K138" i="2" s="1"/>
  <c r="J134" i="2"/>
  <c r="I134" i="2"/>
  <c r="I138" i="2" s="1"/>
  <c r="H134" i="2"/>
  <c r="G134" i="2"/>
  <c r="X133" i="2"/>
  <c r="V133" i="2"/>
  <c r="T133" i="2"/>
  <c r="R133" i="2"/>
  <c r="P133" i="2"/>
  <c r="W129" i="2"/>
  <c r="Q129" i="2"/>
  <c r="O129" i="2"/>
  <c r="L129" i="2"/>
  <c r="G129" i="2"/>
  <c r="W128" i="2"/>
  <c r="U128" i="2"/>
  <c r="S128" i="2"/>
  <c r="Q128" i="2"/>
  <c r="O128" i="2"/>
  <c r="N128" i="2"/>
  <c r="M128" i="2"/>
  <c r="L128" i="2"/>
  <c r="K128" i="2"/>
  <c r="J128" i="2"/>
  <c r="H128" i="2"/>
  <c r="G128" i="2"/>
  <c r="Z127" i="2"/>
  <c r="T127" i="2"/>
  <c r="R127" i="2"/>
  <c r="K127" i="2"/>
  <c r="P127" i="2" s="1"/>
  <c r="I127" i="2"/>
  <c r="I128" i="2" s="1"/>
  <c r="I129" i="2" s="1"/>
  <c r="Y126" i="2"/>
  <c r="Y128" i="2" s="1"/>
  <c r="V126" i="2"/>
  <c r="T126" i="2"/>
  <c r="P126" i="2"/>
  <c r="R126" i="2" s="1"/>
  <c r="W125" i="2"/>
  <c r="U125" i="2"/>
  <c r="U129" i="2" s="1"/>
  <c r="S125" i="2"/>
  <c r="Q125" i="2"/>
  <c r="O125" i="2"/>
  <c r="N125" i="2"/>
  <c r="N129" i="2" s="1"/>
  <c r="M125" i="2"/>
  <c r="M129" i="2" s="1"/>
  <c r="L125" i="2"/>
  <c r="K125" i="2"/>
  <c r="J125" i="2"/>
  <c r="I125" i="2"/>
  <c r="H125" i="2"/>
  <c r="H129" i="2" s="1"/>
  <c r="G125" i="2"/>
  <c r="V124" i="2"/>
  <c r="P124" i="2"/>
  <c r="X124" i="2" s="1"/>
  <c r="K124" i="2"/>
  <c r="Q120" i="2"/>
  <c r="J120" i="2"/>
  <c r="W119" i="2"/>
  <c r="U119" i="2"/>
  <c r="S119" i="2"/>
  <c r="Q119" i="2"/>
  <c r="O119" i="2"/>
  <c r="N119" i="2"/>
  <c r="M119" i="2"/>
  <c r="M31" i="2" s="1"/>
  <c r="M24" i="2" s="1"/>
  <c r="M6" i="2" s="1"/>
  <c r="M17" i="2" s="1"/>
  <c r="L119" i="2"/>
  <c r="K119" i="2"/>
  <c r="J119" i="2"/>
  <c r="I119" i="2"/>
  <c r="H119" i="2"/>
  <c r="G119" i="2"/>
  <c r="Y118" i="2"/>
  <c r="P118" i="2"/>
  <c r="X118" i="2" s="1"/>
  <c r="Y117" i="2"/>
  <c r="W117" i="2"/>
  <c r="U117" i="2"/>
  <c r="S117" i="2"/>
  <c r="Q117" i="2"/>
  <c r="O117" i="2"/>
  <c r="N117" i="2"/>
  <c r="M117" i="2"/>
  <c r="L117" i="2"/>
  <c r="J117" i="2"/>
  <c r="I117" i="2"/>
  <c r="H117" i="2"/>
  <c r="G117" i="2"/>
  <c r="Z116" i="2"/>
  <c r="Y116" i="2"/>
  <c r="P116" i="2"/>
  <c r="Z115" i="2"/>
  <c r="Z117" i="2" s="1"/>
  <c r="Y115" i="2"/>
  <c r="K115" i="2"/>
  <c r="I115" i="2"/>
  <c r="X114" i="2"/>
  <c r="R114" i="2"/>
  <c r="P114" i="2"/>
  <c r="V114" i="2" s="1"/>
  <c r="X113" i="2"/>
  <c r="V113" i="2"/>
  <c r="T113" i="2"/>
  <c r="R113" i="2"/>
  <c r="P113" i="2"/>
  <c r="W112" i="2"/>
  <c r="U112" i="2"/>
  <c r="U120" i="2" s="1"/>
  <c r="S112" i="2"/>
  <c r="S120" i="2" s="1"/>
  <c r="Q112" i="2"/>
  <c r="O112" i="2"/>
  <c r="O120" i="2" s="1"/>
  <c r="N112" i="2"/>
  <c r="N120" i="2" s="1"/>
  <c r="M112" i="2"/>
  <c r="L112" i="2"/>
  <c r="L120" i="2" s="1"/>
  <c r="J112" i="2"/>
  <c r="H112" i="2"/>
  <c r="G112" i="2"/>
  <c r="G120" i="2" s="1"/>
  <c r="K111" i="2"/>
  <c r="I111" i="2"/>
  <c r="I112" i="2" s="1"/>
  <c r="I120" i="2" s="1"/>
  <c r="Y110" i="2"/>
  <c r="Z110" i="2" s="1"/>
  <c r="P110" i="2"/>
  <c r="Z109" i="2"/>
  <c r="Y109" i="2"/>
  <c r="X109" i="2"/>
  <c r="R109" i="2"/>
  <c r="P109" i="2"/>
  <c r="V109" i="2" s="1"/>
  <c r="W105" i="2"/>
  <c r="Q105" i="2"/>
  <c r="O105" i="2"/>
  <c r="L105" i="2"/>
  <c r="J105" i="2"/>
  <c r="I105" i="2"/>
  <c r="W104" i="2"/>
  <c r="U104" i="2"/>
  <c r="U105" i="2" s="1"/>
  <c r="S104" i="2"/>
  <c r="Q104" i="2"/>
  <c r="O104" i="2"/>
  <c r="N104" i="2"/>
  <c r="N105" i="2" s="1"/>
  <c r="M104" i="2"/>
  <c r="M105" i="2" s="1"/>
  <c r="L104" i="2"/>
  <c r="K104" i="2"/>
  <c r="K105" i="2" s="1"/>
  <c r="J104" i="2"/>
  <c r="I104" i="2"/>
  <c r="H104" i="2"/>
  <c r="H105" i="2" s="1"/>
  <c r="G104" i="2"/>
  <c r="G105" i="2" s="1"/>
  <c r="Y103" i="2"/>
  <c r="P103" i="2"/>
  <c r="X103" i="2" s="1"/>
  <c r="Y99" i="2"/>
  <c r="Z99" i="2" s="1"/>
  <c r="X99" i="2"/>
  <c r="T99" i="2"/>
  <c r="P99" i="2"/>
  <c r="V99" i="2" s="1"/>
  <c r="Z98" i="2"/>
  <c r="Y98" i="2"/>
  <c r="X98" i="2"/>
  <c r="V98" i="2"/>
  <c r="R98" i="2"/>
  <c r="Q98" i="2"/>
  <c r="P98" i="2"/>
  <c r="T98" i="2" s="1"/>
  <c r="Z97" i="2"/>
  <c r="Y97" i="2"/>
  <c r="X97" i="2"/>
  <c r="V97" i="2"/>
  <c r="R97" i="2"/>
  <c r="P97" i="2"/>
  <c r="T97" i="2" s="1"/>
  <c r="Y96" i="2"/>
  <c r="Z96" i="2" s="1"/>
  <c r="V96" i="2"/>
  <c r="T96" i="2"/>
  <c r="P96" i="2"/>
  <c r="R96" i="2" s="1"/>
  <c r="H96" i="2"/>
  <c r="Y95" i="2"/>
  <c r="Z95" i="2" s="1"/>
  <c r="V95" i="2"/>
  <c r="T95" i="2"/>
  <c r="P95" i="2"/>
  <c r="R95" i="2" s="1"/>
  <c r="H95" i="2"/>
  <c r="W93" i="2"/>
  <c r="O93" i="2"/>
  <c r="N93" i="2"/>
  <c r="G93" i="2"/>
  <c r="W92" i="2"/>
  <c r="U92" i="2"/>
  <c r="S92" i="2"/>
  <c r="Q92" i="2"/>
  <c r="O92" i="2"/>
  <c r="N92" i="2"/>
  <c r="M92" i="2"/>
  <c r="L92" i="2"/>
  <c r="K92" i="2"/>
  <c r="J92" i="2"/>
  <c r="I92" i="2"/>
  <c r="H92" i="2"/>
  <c r="G92" i="2"/>
  <c r="Y91" i="2"/>
  <c r="Y92" i="2" s="1"/>
  <c r="V91" i="2"/>
  <c r="T91" i="2"/>
  <c r="P91" i="2"/>
  <c r="R91" i="2" s="1"/>
  <c r="W90" i="2"/>
  <c r="V90" i="2"/>
  <c r="U90" i="2"/>
  <c r="S90" i="2"/>
  <c r="T90" i="2" s="1"/>
  <c r="Q90" i="2"/>
  <c r="R90" i="2" s="1"/>
  <c r="O90" i="2"/>
  <c r="N90" i="2"/>
  <c r="M90" i="2"/>
  <c r="L90" i="2"/>
  <c r="J90" i="2"/>
  <c r="H90" i="2"/>
  <c r="G90" i="2"/>
  <c r="Z89" i="2"/>
  <c r="Z90" i="2" s="1"/>
  <c r="Y89" i="2"/>
  <c r="Y90" i="2" s="1"/>
  <c r="P89" i="2"/>
  <c r="X89" i="2" s="1"/>
  <c r="K89" i="2"/>
  <c r="K90" i="2" s="1"/>
  <c r="I89" i="2"/>
  <c r="I90" i="2" s="1"/>
  <c r="X88" i="2"/>
  <c r="P88" i="2"/>
  <c r="V88" i="2" s="1"/>
  <c r="T87" i="2"/>
  <c r="R87" i="2"/>
  <c r="P87" i="2"/>
  <c r="P90" i="2" s="1"/>
  <c r="X90" i="2" s="1"/>
  <c r="Z86" i="2"/>
  <c r="Y86" i="2"/>
  <c r="Y93" i="2" s="1"/>
  <c r="W86" i="2"/>
  <c r="U86" i="2"/>
  <c r="S86" i="2"/>
  <c r="S93" i="2" s="1"/>
  <c r="Q86" i="2"/>
  <c r="O86" i="2"/>
  <c r="N86" i="2"/>
  <c r="M86" i="2"/>
  <c r="M93" i="2" s="1"/>
  <c r="L86" i="2"/>
  <c r="L93" i="2" s="1"/>
  <c r="K86" i="2"/>
  <c r="K93" i="2" s="1"/>
  <c r="J86" i="2"/>
  <c r="J93" i="2" s="1"/>
  <c r="I86" i="2"/>
  <c r="I93" i="2" s="1"/>
  <c r="H86" i="2"/>
  <c r="H93" i="2" s="1"/>
  <c r="G86" i="2"/>
  <c r="V85" i="2"/>
  <c r="T85" i="2"/>
  <c r="P85" i="2"/>
  <c r="R85" i="2" s="1"/>
  <c r="Y81" i="2"/>
  <c r="Z81" i="2" s="1"/>
  <c r="T81" i="2"/>
  <c r="R81" i="2"/>
  <c r="P81" i="2"/>
  <c r="X81" i="2" s="1"/>
  <c r="Y80" i="2"/>
  <c r="Z80" i="2" s="1"/>
  <c r="P80" i="2"/>
  <c r="I80" i="2"/>
  <c r="Y79" i="2"/>
  <c r="Z79" i="2" s="1"/>
  <c r="P79" i="2"/>
  <c r="Y78" i="2"/>
  <c r="Z78" i="2" s="1"/>
  <c r="P78" i="2"/>
  <c r="Z77" i="2"/>
  <c r="Y77" i="2"/>
  <c r="P77" i="2"/>
  <c r="X77" i="2" s="1"/>
  <c r="Q75" i="2"/>
  <c r="W74" i="2"/>
  <c r="W75" i="2" s="1"/>
  <c r="U74" i="2"/>
  <c r="U75" i="2" s="1"/>
  <c r="S74" i="2"/>
  <c r="Q74" i="2"/>
  <c r="O74" i="2"/>
  <c r="O75" i="2" s="1"/>
  <c r="N74" i="2"/>
  <c r="N75" i="2" s="1"/>
  <c r="M74" i="2"/>
  <c r="M75" i="2" s="1"/>
  <c r="L74" i="2"/>
  <c r="L75" i="2" s="1"/>
  <c r="K74" i="2"/>
  <c r="K75" i="2" s="1"/>
  <c r="J74" i="2"/>
  <c r="J75" i="2" s="1"/>
  <c r="I74" i="2"/>
  <c r="I75" i="2" s="1"/>
  <c r="H74" i="2"/>
  <c r="H75" i="2" s="1"/>
  <c r="G74" i="2"/>
  <c r="G75" i="2" s="1"/>
  <c r="Y73" i="2"/>
  <c r="Z73" i="2" s="1"/>
  <c r="X73" i="2"/>
  <c r="V73" i="2"/>
  <c r="T73" i="2"/>
  <c r="R73" i="2"/>
  <c r="P73" i="2"/>
  <c r="Y72" i="2"/>
  <c r="Z72" i="2" s="1"/>
  <c r="P72" i="2"/>
  <c r="Z71" i="2"/>
  <c r="Y71" i="2"/>
  <c r="R71" i="2"/>
  <c r="P71" i="2"/>
  <c r="L67" i="2"/>
  <c r="J67" i="2"/>
  <c r="Y66" i="2"/>
  <c r="W66" i="2"/>
  <c r="W67" i="2" s="1"/>
  <c r="U66" i="2"/>
  <c r="S66" i="2"/>
  <c r="Q66" i="2"/>
  <c r="O66" i="2"/>
  <c r="O67" i="2" s="1"/>
  <c r="N66" i="2"/>
  <c r="M66" i="2"/>
  <c r="L66" i="2"/>
  <c r="K66" i="2"/>
  <c r="J66" i="2"/>
  <c r="I66" i="2"/>
  <c r="H66" i="2"/>
  <c r="H31" i="2" s="1"/>
  <c r="H24" i="2" s="1"/>
  <c r="H6" i="2" s="1"/>
  <c r="H17" i="2" s="1"/>
  <c r="G66" i="2"/>
  <c r="G67" i="2" s="1"/>
  <c r="Z65" i="2"/>
  <c r="Z66" i="2" s="1"/>
  <c r="Z67" i="2" s="1"/>
  <c r="Y65" i="2"/>
  <c r="P65" i="2"/>
  <c r="X65" i="2" s="1"/>
  <c r="Z64" i="2"/>
  <c r="Y64" i="2"/>
  <c r="Y67" i="2" s="1"/>
  <c r="W64" i="2"/>
  <c r="U64" i="2"/>
  <c r="S64" i="2"/>
  <c r="Q64" i="2"/>
  <c r="O64" i="2"/>
  <c r="N64" i="2"/>
  <c r="M64" i="2"/>
  <c r="M67" i="2" s="1"/>
  <c r="L64" i="2"/>
  <c r="K64" i="2"/>
  <c r="K67" i="2" s="1"/>
  <c r="J64" i="2"/>
  <c r="I64" i="2"/>
  <c r="I67" i="2" s="1"/>
  <c r="H64" i="2"/>
  <c r="H67" i="2" s="1"/>
  <c r="G64" i="2"/>
  <c r="Z63" i="2"/>
  <c r="Y63" i="2"/>
  <c r="X63" i="2"/>
  <c r="V63" i="2"/>
  <c r="T63" i="2"/>
  <c r="R63" i="2"/>
  <c r="P63" i="2"/>
  <c r="K63" i="2"/>
  <c r="I63" i="2"/>
  <c r="P62" i="2"/>
  <c r="P61" i="2"/>
  <c r="J57" i="2"/>
  <c r="H57" i="2"/>
  <c r="W56" i="2"/>
  <c r="U56" i="2"/>
  <c r="S56" i="2"/>
  <c r="Q56" i="2"/>
  <c r="O56" i="2"/>
  <c r="N56" i="2"/>
  <c r="M56" i="2"/>
  <c r="L56" i="2"/>
  <c r="K56" i="2"/>
  <c r="J56" i="2"/>
  <c r="I56" i="2"/>
  <c r="H56" i="2"/>
  <c r="G56" i="2"/>
  <c r="Z55" i="2"/>
  <c r="Z56" i="2" s="1"/>
  <c r="Y55" i="2"/>
  <c r="Y56" i="2" s="1"/>
  <c r="X55" i="2"/>
  <c r="P55" i="2"/>
  <c r="V55" i="2" s="1"/>
  <c r="Y54" i="2"/>
  <c r="W54" i="2"/>
  <c r="U54" i="2"/>
  <c r="S54" i="2"/>
  <c r="Q54" i="2"/>
  <c r="O54" i="2"/>
  <c r="N54" i="2"/>
  <c r="M54" i="2"/>
  <c r="L54" i="2"/>
  <c r="J54" i="2"/>
  <c r="H54" i="2"/>
  <c r="H30" i="2" s="1"/>
  <c r="H23" i="2" s="1"/>
  <c r="G54" i="2"/>
  <c r="P53" i="2"/>
  <c r="X53" i="2" s="1"/>
  <c r="Z52" i="2"/>
  <c r="Z54" i="2" s="1"/>
  <c r="Y52" i="2"/>
  <c r="K52" i="2"/>
  <c r="K54" i="2" s="1"/>
  <c r="I52" i="2"/>
  <c r="X51" i="2"/>
  <c r="V51" i="2"/>
  <c r="P51" i="2"/>
  <c r="T51" i="2" s="1"/>
  <c r="P50" i="2"/>
  <c r="W49" i="2"/>
  <c r="W57" i="2" s="1"/>
  <c r="U49" i="2"/>
  <c r="U57" i="2" s="1"/>
  <c r="T49" i="2"/>
  <c r="S49" i="2"/>
  <c r="S57" i="2" s="1"/>
  <c r="Q49" i="2"/>
  <c r="R49" i="2" s="1"/>
  <c r="O49" i="2"/>
  <c r="N49" i="2"/>
  <c r="N57" i="2" s="1"/>
  <c r="M49" i="2"/>
  <c r="M57" i="2" s="1"/>
  <c r="L49" i="2"/>
  <c r="K49" i="2"/>
  <c r="J49" i="2"/>
  <c r="H49" i="2"/>
  <c r="G49" i="2"/>
  <c r="G57" i="2" s="1"/>
  <c r="X48" i="2"/>
  <c r="V48" i="2"/>
  <c r="T48" i="2"/>
  <c r="R48" i="2"/>
  <c r="P48" i="2"/>
  <c r="X47" i="2"/>
  <c r="V47" i="2"/>
  <c r="T47" i="2"/>
  <c r="R47" i="2"/>
  <c r="P47" i="2"/>
  <c r="P49" i="2" s="1"/>
  <c r="K47" i="2"/>
  <c r="I47" i="2"/>
  <c r="I50" i="2" s="1"/>
  <c r="I54" i="2" s="1"/>
  <c r="I30" i="2" s="1"/>
  <c r="I23" i="2" s="1"/>
  <c r="N43" i="2"/>
  <c r="H43" i="2"/>
  <c r="W42" i="2"/>
  <c r="U42" i="2"/>
  <c r="S42" i="2"/>
  <c r="S31" i="2" s="1"/>
  <c r="Q42" i="2"/>
  <c r="O42" i="2"/>
  <c r="N42" i="2"/>
  <c r="M42" i="2"/>
  <c r="L42" i="2"/>
  <c r="K42" i="2"/>
  <c r="K31" i="2" s="1"/>
  <c r="K24" i="2" s="1"/>
  <c r="J42" i="2"/>
  <c r="J31" i="2" s="1"/>
  <c r="J24" i="2" s="1"/>
  <c r="J6" i="2" s="1"/>
  <c r="J17" i="2" s="1"/>
  <c r="I42" i="2"/>
  <c r="H42" i="2"/>
  <c r="G42" i="2"/>
  <c r="Y41" i="2"/>
  <c r="Y42" i="2" s="1"/>
  <c r="X41" i="2"/>
  <c r="V41" i="2"/>
  <c r="T41" i="2"/>
  <c r="R41" i="2"/>
  <c r="P41" i="2"/>
  <c r="P42" i="2" s="1"/>
  <c r="W40" i="2"/>
  <c r="U40" i="2"/>
  <c r="S40" i="2"/>
  <c r="Q40" i="2"/>
  <c r="O40" i="2"/>
  <c r="N40" i="2"/>
  <c r="N30" i="2" s="1"/>
  <c r="N23" i="2" s="1"/>
  <c r="M40" i="2"/>
  <c r="L40" i="2"/>
  <c r="L43" i="2" s="1"/>
  <c r="J40" i="2"/>
  <c r="H40" i="2"/>
  <c r="G40" i="2"/>
  <c r="X39" i="2"/>
  <c r="V39" i="2"/>
  <c r="P39" i="2"/>
  <c r="T39" i="2" s="1"/>
  <c r="Z38" i="2"/>
  <c r="Z40" i="2" s="1"/>
  <c r="Y38" i="2"/>
  <c r="Y40" i="2" s="1"/>
  <c r="Y43" i="2" s="1"/>
  <c r="K38" i="2"/>
  <c r="K40" i="2" s="1"/>
  <c r="K43" i="2" s="1"/>
  <c r="I38" i="2"/>
  <c r="I40" i="2" s="1"/>
  <c r="I43" i="2" s="1"/>
  <c r="X37" i="2"/>
  <c r="V37" i="2"/>
  <c r="T37" i="2"/>
  <c r="R37" i="2"/>
  <c r="P37" i="2"/>
  <c r="P36" i="2"/>
  <c r="W31" i="2"/>
  <c r="W24" i="2" s="1"/>
  <c r="U31" i="2"/>
  <c r="Q31" i="2"/>
  <c r="O31" i="2"/>
  <c r="I31" i="2"/>
  <c r="G31" i="2"/>
  <c r="S30" i="2"/>
  <c r="S32" i="2" s="1"/>
  <c r="L30" i="2"/>
  <c r="J30" i="2"/>
  <c r="W29" i="2"/>
  <c r="U29" i="2"/>
  <c r="S29" i="2"/>
  <c r="Q29" i="2"/>
  <c r="O29" i="2"/>
  <c r="O22" i="2" s="1"/>
  <c r="M29" i="2"/>
  <c r="J29" i="2"/>
  <c r="H29" i="2"/>
  <c r="H32" i="2" s="1"/>
  <c r="G29" i="2"/>
  <c r="U24" i="2"/>
  <c r="Q24" i="2"/>
  <c r="O24" i="2"/>
  <c r="O6" i="2" s="1"/>
  <c r="O17" i="2" s="1"/>
  <c r="I24" i="2"/>
  <c r="G24" i="2"/>
  <c r="G6" i="2" s="1"/>
  <c r="G17" i="2" s="1"/>
  <c r="L23" i="2"/>
  <c r="J23" i="2"/>
  <c r="W22" i="2"/>
  <c r="S22" i="2"/>
  <c r="Q22" i="2"/>
  <c r="M22" i="2"/>
  <c r="J22" i="2"/>
  <c r="G22" i="2"/>
  <c r="W13" i="2"/>
  <c r="U13" i="2"/>
  <c r="O13" i="2"/>
  <c r="N13" i="2"/>
  <c r="M13" i="2"/>
  <c r="G13" i="2"/>
  <c r="Y12" i="2"/>
  <c r="Y13" i="2" s="1"/>
  <c r="W12" i="2"/>
  <c r="U12" i="2"/>
  <c r="S12" i="2"/>
  <c r="Q12" i="2"/>
  <c r="O12" i="2"/>
  <c r="N12" i="2"/>
  <c r="M12" i="2"/>
  <c r="L12" i="2"/>
  <c r="L13" i="2" s="1"/>
  <c r="K12" i="2"/>
  <c r="K13" i="2" s="1"/>
  <c r="I12" i="2"/>
  <c r="I13" i="2" s="1"/>
  <c r="H12" i="2"/>
  <c r="H13" i="2" s="1"/>
  <c r="G12" i="2"/>
  <c r="M11" i="2"/>
  <c r="Z10" i="2"/>
  <c r="Y10" i="2"/>
  <c r="Y16" i="2" s="1"/>
  <c r="W10" i="2"/>
  <c r="X10" i="2" s="1"/>
  <c r="U10" i="2"/>
  <c r="V10" i="2" s="1"/>
  <c r="S10" i="2"/>
  <c r="T10" i="2" s="1"/>
  <c r="Q10" i="2"/>
  <c r="R10" i="2" s="1"/>
  <c r="P10" i="2"/>
  <c r="O10" i="2"/>
  <c r="N10" i="2"/>
  <c r="M10" i="2"/>
  <c r="L10" i="2"/>
  <c r="K10" i="2"/>
  <c r="J10" i="2"/>
  <c r="I10" i="2"/>
  <c r="I16" i="2" s="1"/>
  <c r="H10" i="2"/>
  <c r="G10" i="2"/>
  <c r="Z9" i="2"/>
  <c r="Y9" i="2"/>
  <c r="W9" i="2"/>
  <c r="W11" i="2" s="1"/>
  <c r="Q9" i="2"/>
  <c r="M9" i="2"/>
  <c r="G9" i="2"/>
  <c r="Z8" i="2"/>
  <c r="Z11" i="2" s="1"/>
  <c r="Y8" i="2"/>
  <c r="W8" i="2"/>
  <c r="U8" i="2"/>
  <c r="S8" i="2"/>
  <c r="Q8" i="2"/>
  <c r="O8" i="2"/>
  <c r="N8" i="2"/>
  <c r="M8" i="2"/>
  <c r="L8" i="2"/>
  <c r="J8" i="2"/>
  <c r="I8" i="2"/>
  <c r="H8" i="2"/>
  <c r="K6" i="2"/>
  <c r="K17" i="2" s="1"/>
  <c r="Y5" i="2"/>
  <c r="U5" i="2"/>
  <c r="U16" i="2" s="1"/>
  <c r="S5" i="2"/>
  <c r="S16" i="2" s="1"/>
  <c r="O5" i="2"/>
  <c r="O16" i="2" s="1"/>
  <c r="N5" i="2"/>
  <c r="N16" i="2" s="1"/>
  <c r="M5" i="2"/>
  <c r="M16" i="2" s="1"/>
  <c r="L5" i="2"/>
  <c r="L16" i="2" s="1"/>
  <c r="K5" i="2"/>
  <c r="K16" i="2" s="1"/>
  <c r="J5" i="2"/>
  <c r="I5" i="2"/>
  <c r="H5" i="2"/>
  <c r="H16" i="2" s="1"/>
  <c r="G5" i="2"/>
  <c r="G16" i="2" s="1"/>
  <c r="H146" i="1"/>
  <c r="M146" i="1" s="1"/>
  <c r="F146" i="1"/>
  <c r="M140" i="1"/>
  <c r="U140" i="1" s="1"/>
  <c r="U139" i="1"/>
  <c r="Q139" i="1"/>
  <c r="M139" i="1"/>
  <c r="S139" i="1" s="1"/>
  <c r="Q138" i="1"/>
  <c r="O138" i="1"/>
  <c r="M138" i="1"/>
  <c r="U138" i="1" s="1"/>
  <c r="N137" i="1"/>
  <c r="M137" i="1"/>
  <c r="M130" i="1" s="1"/>
  <c r="U136" i="1"/>
  <c r="Q136" i="1"/>
  <c r="M136" i="1"/>
  <c r="S136" i="1" s="1"/>
  <c r="Q135" i="1"/>
  <c r="O135" i="1"/>
  <c r="M135" i="1"/>
  <c r="U135" i="1" s="1"/>
  <c r="W132" i="1"/>
  <c r="V132" i="1"/>
  <c r="V15" i="1" s="1"/>
  <c r="T132" i="1"/>
  <c r="R132" i="1"/>
  <c r="P132" i="1"/>
  <c r="Q132" i="1" s="1"/>
  <c r="N132" i="1"/>
  <c r="O132" i="1" s="1"/>
  <c r="M132" i="1"/>
  <c r="U132" i="1" s="1"/>
  <c r="L132" i="1"/>
  <c r="K132" i="1"/>
  <c r="J132" i="1"/>
  <c r="I132" i="1"/>
  <c r="H132" i="1"/>
  <c r="G132" i="1"/>
  <c r="F132" i="1"/>
  <c r="F15" i="1" s="1"/>
  <c r="E132" i="1"/>
  <c r="D132" i="1"/>
  <c r="W131" i="1"/>
  <c r="V131" i="1"/>
  <c r="T131" i="1"/>
  <c r="R131" i="1"/>
  <c r="P131" i="1"/>
  <c r="N131" i="1"/>
  <c r="L131" i="1"/>
  <c r="K131" i="1"/>
  <c r="J131" i="1"/>
  <c r="J14" i="1" s="1"/>
  <c r="J19" i="1" s="1"/>
  <c r="I131" i="1"/>
  <c r="H131" i="1"/>
  <c r="G131" i="1"/>
  <c r="F131" i="1"/>
  <c r="E131" i="1"/>
  <c r="D131" i="1"/>
  <c r="W130" i="1"/>
  <c r="V130" i="1"/>
  <c r="V13" i="1" s="1"/>
  <c r="T130" i="1"/>
  <c r="R130" i="1"/>
  <c r="P130" i="1"/>
  <c r="Q130" i="1" s="1"/>
  <c r="N130" i="1"/>
  <c r="L130" i="1"/>
  <c r="K130" i="1"/>
  <c r="J130" i="1"/>
  <c r="I130" i="1"/>
  <c r="H130" i="1"/>
  <c r="G130" i="1"/>
  <c r="F130" i="1"/>
  <c r="F13" i="1" s="1"/>
  <c r="E130" i="1"/>
  <c r="D130" i="1"/>
  <c r="W129" i="1"/>
  <c r="W133" i="1" s="1"/>
  <c r="V129" i="1"/>
  <c r="V133" i="1" s="1"/>
  <c r="T129" i="1"/>
  <c r="U129" i="1" s="1"/>
  <c r="R129" i="1"/>
  <c r="S129" i="1" s="1"/>
  <c r="Q129" i="1"/>
  <c r="P129" i="1"/>
  <c r="P133" i="1" s="1"/>
  <c r="O129" i="1"/>
  <c r="N129" i="1"/>
  <c r="N133" i="1" s="1"/>
  <c r="M129" i="1"/>
  <c r="L129" i="1"/>
  <c r="L133" i="1" s="1"/>
  <c r="K129" i="1"/>
  <c r="K133" i="1" s="1"/>
  <c r="J129" i="1"/>
  <c r="J133" i="1" s="1"/>
  <c r="I129" i="1"/>
  <c r="I133" i="1" s="1"/>
  <c r="H129" i="1"/>
  <c r="H133" i="1" s="1"/>
  <c r="G129" i="1"/>
  <c r="G133" i="1" s="1"/>
  <c r="F129" i="1"/>
  <c r="F133" i="1" s="1"/>
  <c r="E129" i="1"/>
  <c r="E133" i="1" s="1"/>
  <c r="D129" i="1"/>
  <c r="D133" i="1" s="1"/>
  <c r="V125" i="1"/>
  <c r="V77" i="1" s="1"/>
  <c r="T125" i="1"/>
  <c r="R125" i="1"/>
  <c r="P125" i="1"/>
  <c r="Q125" i="1" s="1"/>
  <c r="N125" i="1"/>
  <c r="N77" i="1" s="1"/>
  <c r="L125" i="1"/>
  <c r="K125" i="1"/>
  <c r="K77" i="1" s="1"/>
  <c r="K6" i="1" s="1"/>
  <c r="K20" i="1" s="1"/>
  <c r="J125" i="1"/>
  <c r="I125" i="1"/>
  <c r="H125" i="1"/>
  <c r="G125" i="1"/>
  <c r="F125" i="1"/>
  <c r="F77" i="1" s="1"/>
  <c r="E125" i="1"/>
  <c r="E77" i="1" s="1"/>
  <c r="D125" i="1"/>
  <c r="W124" i="1"/>
  <c r="W125" i="1" s="1"/>
  <c r="W77" i="1" s="1"/>
  <c r="V124" i="1"/>
  <c r="O124" i="1"/>
  <c r="M124" i="1"/>
  <c r="M125" i="1" s="1"/>
  <c r="V123" i="1"/>
  <c r="T123" i="1"/>
  <c r="R123" i="1"/>
  <c r="P123" i="1"/>
  <c r="P76" i="1" s="1"/>
  <c r="N123" i="1"/>
  <c r="L123" i="1"/>
  <c r="K123" i="1"/>
  <c r="J123" i="1"/>
  <c r="I123" i="1"/>
  <c r="I76" i="1" s="1"/>
  <c r="H123" i="1"/>
  <c r="H76" i="1" s="1"/>
  <c r="G123" i="1"/>
  <c r="F123" i="1"/>
  <c r="E123" i="1"/>
  <c r="D123" i="1"/>
  <c r="Q122" i="1"/>
  <c r="O122" i="1"/>
  <c r="M122" i="1"/>
  <c r="U122" i="1" s="1"/>
  <c r="W121" i="1"/>
  <c r="Z271" i="2" s="1"/>
  <c r="Z272" i="2" s="1"/>
  <c r="Z261" i="2" s="1"/>
  <c r="Z253" i="2" s="1"/>
  <c r="Z5" i="2" s="1"/>
  <c r="M121" i="1"/>
  <c r="M5" i="1" s="1"/>
  <c r="T120" i="1"/>
  <c r="R120" i="1"/>
  <c r="S120" i="1" s="1"/>
  <c r="P120" i="1"/>
  <c r="P75" i="1" s="1"/>
  <c r="N120" i="1"/>
  <c r="L120" i="1"/>
  <c r="K120" i="1"/>
  <c r="J120" i="1"/>
  <c r="I120" i="1"/>
  <c r="H120" i="1"/>
  <c r="H75" i="1" s="1"/>
  <c r="G120" i="1"/>
  <c r="F120" i="1"/>
  <c r="O119" i="1"/>
  <c r="M119" i="1"/>
  <c r="U119" i="1" s="1"/>
  <c r="H119" i="1"/>
  <c r="U118" i="1"/>
  <c r="Q118" i="1"/>
  <c r="O118" i="1"/>
  <c r="M118" i="1"/>
  <c r="S118" i="1" s="1"/>
  <c r="U117" i="1"/>
  <c r="S117" i="1"/>
  <c r="Q117" i="1"/>
  <c r="O117" i="1"/>
  <c r="M117" i="1"/>
  <c r="O116" i="1"/>
  <c r="M116" i="1"/>
  <c r="U116" i="1" s="1"/>
  <c r="U115" i="1"/>
  <c r="S115" i="1"/>
  <c r="M115" i="1"/>
  <c r="Q115" i="1" s="1"/>
  <c r="S114" i="1"/>
  <c r="M114" i="1"/>
  <c r="Q114" i="1" s="1"/>
  <c r="M113" i="1"/>
  <c r="U113" i="1" s="1"/>
  <c r="U112" i="1"/>
  <c r="S112" i="1"/>
  <c r="Q112" i="1"/>
  <c r="M112" i="1"/>
  <c r="O112" i="1" s="1"/>
  <c r="Q111" i="1"/>
  <c r="O111" i="1"/>
  <c r="M111" i="1"/>
  <c r="U111" i="1" s="1"/>
  <c r="W110" i="1"/>
  <c r="V110" i="1"/>
  <c r="O110" i="1"/>
  <c r="M110" i="1"/>
  <c r="U110" i="1" s="1"/>
  <c r="V109" i="1"/>
  <c r="W109" i="1" s="1"/>
  <c r="M109" i="1"/>
  <c r="U109" i="1" s="1"/>
  <c r="W108" i="1"/>
  <c r="V108" i="1"/>
  <c r="U108" i="1"/>
  <c r="Q108" i="1"/>
  <c r="O108" i="1"/>
  <c r="M108" i="1"/>
  <c r="S108" i="1" s="1"/>
  <c r="W107" i="1"/>
  <c r="Z47" i="2" s="1"/>
  <c r="Z49" i="2" s="1"/>
  <c r="V107" i="1"/>
  <c r="Y47" i="2" s="1"/>
  <c r="Y49" i="2" s="1"/>
  <c r="U107" i="1"/>
  <c r="S107" i="1"/>
  <c r="M107" i="1"/>
  <c r="Q107" i="1" s="1"/>
  <c r="V106" i="1"/>
  <c r="Y124" i="2" s="1"/>
  <c r="Y125" i="2" s="1"/>
  <c r="Y129" i="2" s="1"/>
  <c r="U106" i="1"/>
  <c r="S106" i="1"/>
  <c r="Q106" i="1"/>
  <c r="M106" i="1"/>
  <c r="O106" i="1" s="1"/>
  <c r="W105" i="1"/>
  <c r="V105" i="1"/>
  <c r="U105" i="1"/>
  <c r="S105" i="1"/>
  <c r="Q105" i="1"/>
  <c r="O105" i="1"/>
  <c r="M105" i="1"/>
  <c r="W104" i="1"/>
  <c r="Q104" i="1"/>
  <c r="O104" i="1"/>
  <c r="M104" i="1"/>
  <c r="U104" i="1" s="1"/>
  <c r="W103" i="1"/>
  <c r="Z266" i="2" s="1"/>
  <c r="Z267" i="2" s="1"/>
  <c r="V103" i="1"/>
  <c r="Y266" i="2" s="1"/>
  <c r="Y267" i="2" s="1"/>
  <c r="O103" i="1"/>
  <c r="M103" i="1"/>
  <c r="U103" i="1" s="1"/>
  <c r="W102" i="1"/>
  <c r="U102" i="1"/>
  <c r="S102" i="1"/>
  <c r="Q102" i="1"/>
  <c r="O102" i="1"/>
  <c r="M102" i="1"/>
  <c r="W101" i="1"/>
  <c r="U101" i="1"/>
  <c r="S101" i="1"/>
  <c r="Q101" i="1"/>
  <c r="M101" i="1"/>
  <c r="O101" i="1" s="1"/>
  <c r="W100" i="1"/>
  <c r="S100" i="1"/>
  <c r="M100" i="1"/>
  <c r="Q100" i="1" s="1"/>
  <c r="W99" i="1"/>
  <c r="O99" i="1"/>
  <c r="M99" i="1"/>
  <c r="U99" i="1" s="1"/>
  <c r="V98" i="1"/>
  <c r="W98" i="1" s="1"/>
  <c r="M98" i="1"/>
  <c r="U98" i="1" s="1"/>
  <c r="W97" i="1"/>
  <c r="V97" i="1"/>
  <c r="U97" i="1"/>
  <c r="S97" i="1"/>
  <c r="Q97" i="1"/>
  <c r="O97" i="1"/>
  <c r="M97" i="1"/>
  <c r="E97" i="1"/>
  <c r="E120" i="1" s="1"/>
  <c r="E75" i="1" s="1"/>
  <c r="D97" i="1"/>
  <c r="U96" i="1"/>
  <c r="S96" i="1"/>
  <c r="M96" i="1"/>
  <c r="Q96" i="1" s="1"/>
  <c r="V95" i="1"/>
  <c r="W95" i="1" s="1"/>
  <c r="U95" i="1"/>
  <c r="S95" i="1"/>
  <c r="Q95" i="1"/>
  <c r="M95" i="1"/>
  <c r="O95" i="1" s="1"/>
  <c r="H94" i="1"/>
  <c r="M94" i="1" s="1"/>
  <c r="Q93" i="1"/>
  <c r="O93" i="1"/>
  <c r="M93" i="1"/>
  <c r="U93" i="1" s="1"/>
  <c r="W92" i="1"/>
  <c r="V92" i="1"/>
  <c r="O92" i="1"/>
  <c r="M92" i="1"/>
  <c r="U92" i="1" s="1"/>
  <c r="U91" i="1"/>
  <c r="S91" i="1"/>
  <c r="M91" i="1"/>
  <c r="Q91" i="1" s="1"/>
  <c r="V90" i="1"/>
  <c r="W90" i="1" s="1"/>
  <c r="U90" i="1"/>
  <c r="S90" i="1"/>
  <c r="Q90" i="1"/>
  <c r="M90" i="1"/>
  <c r="O90" i="1" s="1"/>
  <c r="W89" i="1"/>
  <c r="V89" i="1"/>
  <c r="U89" i="1"/>
  <c r="S89" i="1"/>
  <c r="Q89" i="1"/>
  <c r="O89" i="1"/>
  <c r="M89" i="1"/>
  <c r="D89" i="1"/>
  <c r="D120" i="1" s="1"/>
  <c r="D75" i="1" s="1"/>
  <c r="W88" i="1"/>
  <c r="V88" i="1"/>
  <c r="U88" i="1"/>
  <c r="S88" i="1"/>
  <c r="Q88" i="1"/>
  <c r="O88" i="1"/>
  <c r="M88" i="1"/>
  <c r="W87" i="1"/>
  <c r="V87" i="1"/>
  <c r="S87" i="1"/>
  <c r="M87" i="1"/>
  <c r="Q87" i="1" s="1"/>
  <c r="V86" i="1"/>
  <c r="W86" i="1" s="1"/>
  <c r="Q86" i="1"/>
  <c r="O86" i="1"/>
  <c r="M86" i="1"/>
  <c r="U86" i="1" s="1"/>
  <c r="W85" i="1"/>
  <c r="V85" i="1"/>
  <c r="O85" i="1"/>
  <c r="M85" i="1"/>
  <c r="U85" i="1" s="1"/>
  <c r="V84" i="1"/>
  <c r="W84" i="1" s="1"/>
  <c r="M84" i="1"/>
  <c r="M120" i="1" s="1"/>
  <c r="W83" i="1"/>
  <c r="V83" i="1"/>
  <c r="U83" i="1"/>
  <c r="Q83" i="1"/>
  <c r="O83" i="1"/>
  <c r="M83" i="1"/>
  <c r="S83" i="1" s="1"/>
  <c r="W82" i="1"/>
  <c r="V82" i="1"/>
  <c r="U82" i="1"/>
  <c r="S82" i="1"/>
  <c r="M82" i="1"/>
  <c r="Q82" i="1" s="1"/>
  <c r="T77" i="1"/>
  <c r="R77" i="1"/>
  <c r="R6" i="1" s="1"/>
  <c r="P77" i="1"/>
  <c r="L77" i="1"/>
  <c r="J77" i="1"/>
  <c r="J6" i="1" s="1"/>
  <c r="J20" i="1" s="1"/>
  <c r="I77" i="1"/>
  <c r="I6" i="1" s="1"/>
  <c r="I20" i="1" s="1"/>
  <c r="H77" i="1"/>
  <c r="G77" i="1"/>
  <c r="D77" i="1"/>
  <c r="V76" i="1"/>
  <c r="V5" i="1" s="1"/>
  <c r="V19" i="1" s="1"/>
  <c r="T76" i="1"/>
  <c r="T78" i="1" s="1"/>
  <c r="R76" i="1"/>
  <c r="N76" i="1"/>
  <c r="L76" i="1"/>
  <c r="L78" i="1" s="1"/>
  <c r="K76" i="1"/>
  <c r="K78" i="1" s="1"/>
  <c r="J76" i="1"/>
  <c r="G76" i="1"/>
  <c r="F76" i="1"/>
  <c r="F5" i="1" s="1"/>
  <c r="F19" i="1" s="1"/>
  <c r="E76" i="1"/>
  <c r="E5" i="1" s="1"/>
  <c r="E19" i="1" s="1"/>
  <c r="D76" i="1"/>
  <c r="T75" i="1"/>
  <c r="R75" i="1"/>
  <c r="R78" i="1" s="1"/>
  <c r="N75" i="1"/>
  <c r="L75" i="1"/>
  <c r="K75" i="1"/>
  <c r="J75" i="1"/>
  <c r="J78" i="1" s="1"/>
  <c r="I75" i="1"/>
  <c r="G75" i="1"/>
  <c r="G78" i="1" s="1"/>
  <c r="F75" i="1"/>
  <c r="V71" i="1"/>
  <c r="W71" i="1" s="1"/>
  <c r="U71" i="1"/>
  <c r="S71" i="1"/>
  <c r="Q71" i="1"/>
  <c r="M71" i="1"/>
  <c r="O71" i="1" s="1"/>
  <c r="W70" i="1"/>
  <c r="S70" i="1"/>
  <c r="M70" i="1"/>
  <c r="Q70" i="1" s="1"/>
  <c r="M69" i="1"/>
  <c r="U69" i="1" s="1"/>
  <c r="W68" i="1"/>
  <c r="V68" i="1"/>
  <c r="U68" i="1"/>
  <c r="Q68" i="1"/>
  <c r="O68" i="1"/>
  <c r="M68" i="1"/>
  <c r="S68" i="1" s="1"/>
  <c r="W67" i="1"/>
  <c r="V67" i="1"/>
  <c r="U67" i="1"/>
  <c r="S67" i="1"/>
  <c r="M67" i="1"/>
  <c r="Q67" i="1" s="1"/>
  <c r="W66" i="1"/>
  <c r="U66" i="1"/>
  <c r="S66" i="1"/>
  <c r="Q66" i="1"/>
  <c r="O66" i="1"/>
  <c r="M66" i="1"/>
  <c r="V65" i="1"/>
  <c r="W65" i="1" s="1"/>
  <c r="S65" i="1"/>
  <c r="M65" i="1"/>
  <c r="Q65" i="1" s="1"/>
  <c r="V64" i="1"/>
  <c r="W64" i="1" s="1"/>
  <c r="Q64" i="1"/>
  <c r="O64" i="1"/>
  <c r="M64" i="1"/>
  <c r="U64" i="1" s="1"/>
  <c r="W63" i="1"/>
  <c r="V63" i="1"/>
  <c r="O63" i="1"/>
  <c r="M63" i="1"/>
  <c r="U63" i="1" s="1"/>
  <c r="V62" i="1"/>
  <c r="W62" i="1" s="1"/>
  <c r="M62" i="1"/>
  <c r="U62" i="1" s="1"/>
  <c r="V60" i="1"/>
  <c r="T60" i="1"/>
  <c r="R60" i="1"/>
  <c r="P60" i="1"/>
  <c r="N60" i="1"/>
  <c r="L60" i="1"/>
  <c r="K60" i="1"/>
  <c r="J60" i="1"/>
  <c r="I60" i="1"/>
  <c r="H60" i="1"/>
  <c r="H44" i="1" s="1"/>
  <c r="H6" i="1" s="1"/>
  <c r="H20" i="1" s="1"/>
  <c r="G60" i="1"/>
  <c r="F60" i="1"/>
  <c r="E60" i="1"/>
  <c r="E44" i="1" s="1"/>
  <c r="E6" i="1" s="1"/>
  <c r="E20" i="1" s="1"/>
  <c r="D60" i="1"/>
  <c r="V59" i="1"/>
  <c r="W59" i="1" s="1"/>
  <c r="S59" i="1"/>
  <c r="M59" i="1"/>
  <c r="Q59" i="1" s="1"/>
  <c r="V58" i="1"/>
  <c r="W58" i="1" s="1"/>
  <c r="Q58" i="1"/>
  <c r="O58" i="1"/>
  <c r="M58" i="1"/>
  <c r="U58" i="1" s="1"/>
  <c r="T57" i="1"/>
  <c r="R57" i="1"/>
  <c r="R43" i="1" s="1"/>
  <c r="P57" i="1"/>
  <c r="N57" i="1"/>
  <c r="L57" i="1"/>
  <c r="K57" i="1"/>
  <c r="J57" i="1"/>
  <c r="J43" i="1" s="1"/>
  <c r="J45" i="1" s="1"/>
  <c r="I57" i="1"/>
  <c r="I43" i="1" s="1"/>
  <c r="H57" i="1"/>
  <c r="G57" i="1"/>
  <c r="G43" i="1" s="1"/>
  <c r="G4" i="1" s="1"/>
  <c r="G18" i="1" s="1"/>
  <c r="F57" i="1"/>
  <c r="E57" i="1"/>
  <c r="D57" i="1"/>
  <c r="V56" i="1"/>
  <c r="W56" i="1" s="1"/>
  <c r="U56" i="1"/>
  <c r="S56" i="1"/>
  <c r="Q56" i="1"/>
  <c r="M56" i="1"/>
  <c r="O56" i="1" s="1"/>
  <c r="W55" i="1"/>
  <c r="V55" i="1"/>
  <c r="U55" i="1"/>
  <c r="S55" i="1"/>
  <c r="Q55" i="1"/>
  <c r="O55" i="1"/>
  <c r="M55" i="1"/>
  <c r="V54" i="1"/>
  <c r="W54" i="1" s="1"/>
  <c r="W9" i="1" s="1"/>
  <c r="S54" i="1"/>
  <c r="Q54" i="1"/>
  <c r="M54" i="1"/>
  <c r="O54" i="1" s="1"/>
  <c r="V53" i="1"/>
  <c r="W53" i="1" s="1"/>
  <c r="Q53" i="1"/>
  <c r="O53" i="1"/>
  <c r="M53" i="1"/>
  <c r="U53" i="1" s="1"/>
  <c r="W52" i="1"/>
  <c r="V52" i="1"/>
  <c r="V57" i="1" s="1"/>
  <c r="V43" i="1" s="1"/>
  <c r="O52" i="1"/>
  <c r="M52" i="1"/>
  <c r="M57" i="1" s="1"/>
  <c r="V51" i="1"/>
  <c r="T51" i="1"/>
  <c r="R51" i="1"/>
  <c r="P51" i="1"/>
  <c r="P42" i="1" s="1"/>
  <c r="N51" i="1"/>
  <c r="L51" i="1"/>
  <c r="K51" i="1"/>
  <c r="K42" i="1" s="1"/>
  <c r="J51" i="1"/>
  <c r="I51" i="1"/>
  <c r="I42" i="1" s="1"/>
  <c r="H51" i="1"/>
  <c r="H42" i="1" s="1"/>
  <c r="G51" i="1"/>
  <c r="F51" i="1"/>
  <c r="E51" i="1"/>
  <c r="D51" i="1"/>
  <c r="W50" i="1"/>
  <c r="V50" i="1"/>
  <c r="U50" i="1"/>
  <c r="S50" i="1"/>
  <c r="Q50" i="1"/>
  <c r="O50" i="1"/>
  <c r="M50" i="1"/>
  <c r="V49" i="1"/>
  <c r="W49" i="1" s="1"/>
  <c r="W51" i="1" s="1"/>
  <c r="W42" i="1" s="1"/>
  <c r="S49" i="1"/>
  <c r="Q49" i="1"/>
  <c r="M49" i="1"/>
  <c r="O49" i="1" s="1"/>
  <c r="V44" i="1"/>
  <c r="V6" i="1" s="1"/>
  <c r="V20" i="1" s="1"/>
  <c r="T44" i="1"/>
  <c r="R44" i="1"/>
  <c r="N44" i="1"/>
  <c r="N6" i="1" s="1"/>
  <c r="L44" i="1"/>
  <c r="L6" i="1" s="1"/>
  <c r="L20" i="1" s="1"/>
  <c r="K44" i="1"/>
  <c r="J44" i="1"/>
  <c r="I44" i="1"/>
  <c r="G44" i="1"/>
  <c r="G6" i="1" s="1"/>
  <c r="G20" i="1" s="1"/>
  <c r="F44" i="1"/>
  <c r="D44" i="1"/>
  <c r="D6" i="1" s="1"/>
  <c r="D20" i="1" s="1"/>
  <c r="T43" i="1"/>
  <c r="P43" i="1"/>
  <c r="N43" i="1"/>
  <c r="L43" i="1"/>
  <c r="K43" i="1"/>
  <c r="H43" i="1"/>
  <c r="F43" i="1"/>
  <c r="E43" i="1"/>
  <c r="D43" i="1"/>
  <c r="V42" i="1"/>
  <c r="V45" i="1" s="1"/>
  <c r="T42" i="1"/>
  <c r="R42" i="1"/>
  <c r="N42" i="1"/>
  <c r="N45" i="1" s="1"/>
  <c r="L42" i="1"/>
  <c r="L45" i="1" s="1"/>
  <c r="J42" i="1"/>
  <c r="G42" i="1"/>
  <c r="F42" i="1"/>
  <c r="F45" i="1" s="1"/>
  <c r="E42" i="1"/>
  <c r="E45" i="1" s="1"/>
  <c r="D42" i="1"/>
  <c r="D45" i="1" s="1"/>
  <c r="T38" i="1"/>
  <c r="R38" i="1"/>
  <c r="R25" i="1" s="1"/>
  <c r="P38" i="1"/>
  <c r="N38" i="1"/>
  <c r="L38" i="1"/>
  <c r="K38" i="1"/>
  <c r="K25" i="1" s="1"/>
  <c r="J38" i="1"/>
  <c r="J25" i="1" s="1"/>
  <c r="I38" i="1"/>
  <c r="H38" i="1"/>
  <c r="G38" i="1"/>
  <c r="F38" i="1"/>
  <c r="E38" i="1"/>
  <c r="E25" i="1" s="1"/>
  <c r="D38" i="1"/>
  <c r="W37" i="1"/>
  <c r="V37" i="1"/>
  <c r="U37" i="1"/>
  <c r="S37" i="1"/>
  <c r="O37" i="1"/>
  <c r="M37" i="1"/>
  <c r="Q37" i="1" s="1"/>
  <c r="V36" i="1"/>
  <c r="W36" i="1" s="1"/>
  <c r="U36" i="1"/>
  <c r="S36" i="1"/>
  <c r="Q36" i="1"/>
  <c r="M36" i="1"/>
  <c r="O36" i="1" s="1"/>
  <c r="W35" i="1"/>
  <c r="V35" i="1"/>
  <c r="U35" i="1"/>
  <c r="S35" i="1"/>
  <c r="Q35" i="1"/>
  <c r="O35" i="1"/>
  <c r="M35" i="1"/>
  <c r="W34" i="1"/>
  <c r="V34" i="1"/>
  <c r="S34" i="1"/>
  <c r="Q34" i="1"/>
  <c r="M34" i="1"/>
  <c r="O34" i="1" s="1"/>
  <c r="V33" i="1"/>
  <c r="W33" i="1" s="1"/>
  <c r="Q33" i="1"/>
  <c r="O33" i="1"/>
  <c r="M33" i="1"/>
  <c r="U33" i="1" s="1"/>
  <c r="W32" i="1"/>
  <c r="V32" i="1"/>
  <c r="O32" i="1"/>
  <c r="M32" i="1"/>
  <c r="U32" i="1" s="1"/>
  <c r="V31" i="1"/>
  <c r="W31" i="1" s="1"/>
  <c r="W38" i="1" s="1"/>
  <c r="W25" i="1" s="1"/>
  <c r="M31" i="1"/>
  <c r="U31" i="1" s="1"/>
  <c r="U30" i="1"/>
  <c r="S30" i="1"/>
  <c r="Q30" i="1"/>
  <c r="M30" i="1"/>
  <c r="O30" i="1" s="1"/>
  <c r="T26" i="1"/>
  <c r="L26" i="1"/>
  <c r="D26" i="1"/>
  <c r="T25" i="1"/>
  <c r="P25" i="1"/>
  <c r="P26" i="1" s="1"/>
  <c r="N25" i="1"/>
  <c r="L25" i="1"/>
  <c r="I25" i="1"/>
  <c r="I4" i="1" s="1"/>
  <c r="I18" i="1" s="1"/>
  <c r="H25" i="1"/>
  <c r="H26" i="1" s="1"/>
  <c r="G25" i="1"/>
  <c r="G26" i="1" s="1"/>
  <c r="F25" i="1"/>
  <c r="F4" i="1" s="1"/>
  <c r="D25" i="1"/>
  <c r="W15" i="1"/>
  <c r="T15" i="1"/>
  <c r="R15" i="1"/>
  <c r="S15" i="1" s="1"/>
  <c r="P15" i="1"/>
  <c r="Q15" i="1" s="1"/>
  <c r="M15" i="1"/>
  <c r="U15" i="1" s="1"/>
  <c r="L15" i="1"/>
  <c r="K15" i="1"/>
  <c r="J15" i="1"/>
  <c r="I15" i="1"/>
  <c r="H15" i="1"/>
  <c r="G15" i="1"/>
  <c r="E15" i="1"/>
  <c r="D15" i="1"/>
  <c r="W14" i="1"/>
  <c r="V14" i="1"/>
  <c r="T14" i="1"/>
  <c r="P14" i="1"/>
  <c r="N14" i="1"/>
  <c r="L14" i="1"/>
  <c r="K14" i="1"/>
  <c r="I14" i="1"/>
  <c r="H14" i="1"/>
  <c r="G14" i="1"/>
  <c r="F14" i="1"/>
  <c r="E14" i="1"/>
  <c r="D14" i="1"/>
  <c r="W13" i="1"/>
  <c r="T13" i="1"/>
  <c r="R13" i="1"/>
  <c r="P13" i="1"/>
  <c r="L13" i="1"/>
  <c r="K13" i="1"/>
  <c r="J13" i="1"/>
  <c r="I13" i="1"/>
  <c r="H13" i="1"/>
  <c r="G13" i="1"/>
  <c r="E13" i="1"/>
  <c r="D13" i="1"/>
  <c r="W12" i="1"/>
  <c r="W16" i="1" s="1"/>
  <c r="V12" i="1"/>
  <c r="V16" i="1" s="1"/>
  <c r="T12" i="1"/>
  <c r="U12" i="1" s="1"/>
  <c r="Q12" i="1"/>
  <c r="P12" i="1"/>
  <c r="P16" i="1" s="1"/>
  <c r="N12" i="1"/>
  <c r="O12" i="1" s="1"/>
  <c r="M12" i="1"/>
  <c r="L12" i="1"/>
  <c r="L16" i="1" s="1"/>
  <c r="K12" i="1"/>
  <c r="K16" i="1" s="1"/>
  <c r="I12" i="1"/>
  <c r="I16" i="1" s="1"/>
  <c r="H12" i="1"/>
  <c r="H16" i="1" s="1"/>
  <c r="G12" i="1"/>
  <c r="G16" i="1" s="1"/>
  <c r="F12" i="1"/>
  <c r="E12" i="1"/>
  <c r="E16" i="1" s="1"/>
  <c r="D12" i="1"/>
  <c r="D16" i="1" s="1"/>
  <c r="T11" i="1"/>
  <c r="L11" i="1"/>
  <c r="E11" i="1"/>
  <c r="D11" i="1"/>
  <c r="T10" i="1"/>
  <c r="U10" i="1" s="1"/>
  <c r="R10" i="1"/>
  <c r="S10" i="1" s="1"/>
  <c r="P10" i="1"/>
  <c r="Q10" i="1" s="1"/>
  <c r="O10" i="1"/>
  <c r="N10" i="1"/>
  <c r="M10" i="1"/>
  <c r="L10" i="1"/>
  <c r="K10" i="1"/>
  <c r="J10" i="1"/>
  <c r="I10" i="1"/>
  <c r="H10" i="1"/>
  <c r="V9" i="1"/>
  <c r="T9" i="1"/>
  <c r="R9" i="1"/>
  <c r="P9" i="1"/>
  <c r="N9" i="1"/>
  <c r="L9" i="1"/>
  <c r="L4" i="1" s="1"/>
  <c r="L18" i="1" s="1"/>
  <c r="K9" i="1"/>
  <c r="J9" i="1"/>
  <c r="I9" i="1"/>
  <c r="H9" i="1"/>
  <c r="G9" i="1"/>
  <c r="F9" i="1"/>
  <c r="E9" i="1"/>
  <c r="D9" i="1"/>
  <c r="D4" i="1" s="1"/>
  <c r="D18" i="1" s="1"/>
  <c r="W8" i="1"/>
  <c r="V8" i="1"/>
  <c r="V11" i="1" s="1"/>
  <c r="T8" i="1"/>
  <c r="R8" i="1"/>
  <c r="R11" i="1" s="1"/>
  <c r="P8" i="1"/>
  <c r="N8" i="1"/>
  <c r="L8" i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D8" i="1"/>
  <c r="T5" i="1"/>
  <c r="T19" i="1" s="1"/>
  <c r="R5" i="1"/>
  <c r="S5" i="1" s="1"/>
  <c r="P5" i="1"/>
  <c r="P19" i="1" s="1"/>
  <c r="N5" i="1"/>
  <c r="N19" i="1" s="1"/>
  <c r="L5" i="1"/>
  <c r="L19" i="1" s="1"/>
  <c r="K5" i="1"/>
  <c r="K19" i="1" s="1"/>
  <c r="J5" i="1"/>
  <c r="I5" i="1"/>
  <c r="I19" i="1" s="1"/>
  <c r="H5" i="1"/>
  <c r="H19" i="1" s="1"/>
  <c r="G5" i="1"/>
  <c r="G19" i="1" s="1"/>
  <c r="D5" i="1"/>
  <c r="D19" i="1" s="1"/>
  <c r="P4" i="1"/>
  <c r="P18" i="1" s="1"/>
  <c r="H4" i="1"/>
  <c r="H18" i="1" s="1"/>
  <c r="T3" i="1"/>
  <c r="T17" i="1" s="1"/>
  <c r="N3" i="1"/>
  <c r="L3" i="1"/>
  <c r="L17" i="1" s="1"/>
  <c r="L21" i="1" s="1"/>
  <c r="G3" i="1"/>
  <c r="F3" i="1"/>
  <c r="F16" i="1" l="1"/>
  <c r="Q57" i="1"/>
  <c r="O57" i="1"/>
  <c r="M43" i="1"/>
  <c r="U43" i="1" s="1"/>
  <c r="W60" i="1"/>
  <c r="W44" i="1" s="1"/>
  <c r="W6" i="1" s="1"/>
  <c r="W20" i="1" s="1"/>
  <c r="S13" i="1"/>
  <c r="D78" i="1"/>
  <c r="D3" i="1"/>
  <c r="R4" i="1"/>
  <c r="R26" i="1"/>
  <c r="U131" i="1"/>
  <c r="W11" i="1"/>
  <c r="U125" i="1"/>
  <c r="S125" i="1"/>
  <c r="M77" i="1"/>
  <c r="Q77" i="1" s="1"/>
  <c r="U130" i="1"/>
  <c r="S130" i="1"/>
  <c r="M13" i="1"/>
  <c r="U13" i="1" s="1"/>
  <c r="G7" i="1"/>
  <c r="K3" i="1"/>
  <c r="K45" i="1"/>
  <c r="U75" i="1"/>
  <c r="O120" i="1"/>
  <c r="U120" i="1"/>
  <c r="M75" i="1"/>
  <c r="H45" i="1"/>
  <c r="H3" i="1"/>
  <c r="Q75" i="1"/>
  <c r="P78" i="1"/>
  <c r="K26" i="1"/>
  <c r="K4" i="1"/>
  <c r="K18" i="1" s="1"/>
  <c r="R45" i="1"/>
  <c r="I78" i="1"/>
  <c r="J4" i="1"/>
  <c r="J18" i="1" s="1"/>
  <c r="J26" i="1"/>
  <c r="W57" i="1"/>
  <c r="W43" i="1" s="1"/>
  <c r="W4" i="1" s="1"/>
  <c r="W18" i="1" s="1"/>
  <c r="W26" i="1"/>
  <c r="P3" i="1"/>
  <c r="U8" i="1"/>
  <c r="I45" i="1"/>
  <c r="I3" i="1"/>
  <c r="E78" i="1"/>
  <c r="E3" i="1"/>
  <c r="O8" i="1"/>
  <c r="S9" i="1"/>
  <c r="F18" i="1"/>
  <c r="G45" i="1"/>
  <c r="U57" i="1"/>
  <c r="R20" i="1"/>
  <c r="H78" i="1"/>
  <c r="Q13" i="1"/>
  <c r="E4" i="1"/>
  <c r="E18" i="1" s="1"/>
  <c r="E26" i="1"/>
  <c r="F6" i="1"/>
  <c r="F20" i="1" s="1"/>
  <c r="S94" i="1"/>
  <c r="Q94" i="1"/>
  <c r="O94" i="1"/>
  <c r="U94" i="1"/>
  <c r="O5" i="1"/>
  <c r="O77" i="1"/>
  <c r="O130" i="1"/>
  <c r="W6" i="2"/>
  <c r="N78" i="1"/>
  <c r="R133" i="1"/>
  <c r="Z43" i="2"/>
  <c r="X50" i="2"/>
  <c r="V50" i="2"/>
  <c r="T50" i="2"/>
  <c r="R50" i="2"/>
  <c r="X72" i="2"/>
  <c r="V72" i="2"/>
  <c r="T72" i="2"/>
  <c r="R72" i="2"/>
  <c r="G174" i="2"/>
  <c r="G156" i="2"/>
  <c r="G158" i="2" s="1"/>
  <c r="S216" i="2"/>
  <c r="T4" i="1"/>
  <c r="T6" i="1"/>
  <c r="N11" i="1"/>
  <c r="J12" i="1"/>
  <c r="J16" i="1" s="1"/>
  <c r="R12" i="1"/>
  <c r="N13" i="1"/>
  <c r="O13" i="1" s="1"/>
  <c r="R14" i="1"/>
  <c r="N15" i="1"/>
  <c r="O15" i="1" s="1"/>
  <c r="F17" i="1"/>
  <c r="N17" i="1"/>
  <c r="F26" i="1"/>
  <c r="N26" i="1"/>
  <c r="O31" i="1"/>
  <c r="Q32" i="1"/>
  <c r="S33" i="1"/>
  <c r="U34" i="1"/>
  <c r="P44" i="1"/>
  <c r="T45" i="1"/>
  <c r="U49" i="1"/>
  <c r="Q52" i="1"/>
  <c r="S53" i="1"/>
  <c r="U54" i="1"/>
  <c r="S57" i="1"/>
  <c r="S58" i="1"/>
  <c r="U59" i="1"/>
  <c r="O62" i="1"/>
  <c r="Q63" i="1"/>
  <c r="S64" i="1"/>
  <c r="U65" i="1"/>
  <c r="O69" i="1"/>
  <c r="U70" i="1"/>
  <c r="S75" i="1"/>
  <c r="O84" i="1"/>
  <c r="Q85" i="1"/>
  <c r="S86" i="1"/>
  <c r="U87" i="1"/>
  <c r="Q92" i="1"/>
  <c r="S93" i="1"/>
  <c r="V94" i="1"/>
  <c r="W94" i="1" s="1"/>
  <c r="W120" i="1" s="1"/>
  <c r="W75" i="1" s="1"/>
  <c r="O98" i="1"/>
  <c r="Q99" i="1"/>
  <c r="U100" i="1"/>
  <c r="Q103" i="1"/>
  <c r="S104" i="1"/>
  <c r="W106" i="1"/>
  <c r="Z124" i="2" s="1"/>
  <c r="Z125" i="2" s="1"/>
  <c r="O109" i="1"/>
  <c r="Q110" i="1"/>
  <c r="S111" i="1"/>
  <c r="O113" i="1"/>
  <c r="U114" i="1"/>
  <c r="Q116" i="1"/>
  <c r="Q119" i="1"/>
  <c r="Q120" i="1"/>
  <c r="O121" i="1"/>
  <c r="S122" i="1"/>
  <c r="Q124" i="1"/>
  <c r="O125" i="1"/>
  <c r="S135" i="1"/>
  <c r="S138" i="1"/>
  <c r="O140" i="1"/>
  <c r="Y11" i="2"/>
  <c r="W32" i="2"/>
  <c r="V42" i="2"/>
  <c r="V49" i="2"/>
  <c r="N31" i="2"/>
  <c r="N24" i="2" s="1"/>
  <c r="N6" i="2" s="1"/>
  <c r="N17" i="2" s="1"/>
  <c r="K117" i="2"/>
  <c r="K30" i="2" s="1"/>
  <c r="K23" i="2" s="1"/>
  <c r="P115" i="2"/>
  <c r="X166" i="2"/>
  <c r="V166" i="2"/>
  <c r="P171" i="2"/>
  <c r="T166" i="2"/>
  <c r="R166" i="2"/>
  <c r="Z29" i="2"/>
  <c r="Z57" i="2"/>
  <c r="M43" i="2"/>
  <c r="M30" i="2"/>
  <c r="M23" i="2" s="1"/>
  <c r="Q67" i="2"/>
  <c r="W242" i="2"/>
  <c r="T266" i="2"/>
  <c r="P267" i="2"/>
  <c r="X266" i="2"/>
  <c r="V266" i="2"/>
  <c r="R266" i="2"/>
  <c r="Q5" i="1"/>
  <c r="M8" i="1"/>
  <c r="G17" i="1"/>
  <c r="G21" i="1" s="1"/>
  <c r="Q31" i="1"/>
  <c r="S32" i="1"/>
  <c r="M38" i="1"/>
  <c r="Q38" i="1" s="1"/>
  <c r="S52" i="1"/>
  <c r="Q62" i="1"/>
  <c r="S63" i="1"/>
  <c r="Q69" i="1"/>
  <c r="Q84" i="1"/>
  <c r="S85" i="1"/>
  <c r="S92" i="1"/>
  <c r="Q98" i="1"/>
  <c r="S99" i="1"/>
  <c r="S103" i="1"/>
  <c r="Q109" i="1"/>
  <c r="S110" i="1"/>
  <c r="Q113" i="1"/>
  <c r="S116" i="1"/>
  <c r="S119" i="1"/>
  <c r="Q121" i="1"/>
  <c r="S124" i="1"/>
  <c r="T133" i="1"/>
  <c r="O137" i="1"/>
  <c r="Q140" i="1"/>
  <c r="Q13" i="2"/>
  <c r="O30" i="2"/>
  <c r="O23" i="2" s="1"/>
  <c r="O43" i="2"/>
  <c r="L31" i="2"/>
  <c r="L24" i="2" s="1"/>
  <c r="X42" i="2"/>
  <c r="O57" i="2"/>
  <c r="U138" i="2"/>
  <c r="V134" i="2"/>
  <c r="M25" i="2"/>
  <c r="U32" i="2"/>
  <c r="S24" i="2"/>
  <c r="O174" i="2"/>
  <c r="O156" i="2"/>
  <c r="O158" i="2" s="1"/>
  <c r="J3" i="1"/>
  <c r="R3" i="1"/>
  <c r="N4" i="1"/>
  <c r="N7" i="1" s="1"/>
  <c r="P11" i="1"/>
  <c r="T16" i="1"/>
  <c r="S31" i="1"/>
  <c r="V38" i="1"/>
  <c r="V25" i="1" s="1"/>
  <c r="U52" i="1"/>
  <c r="S62" i="1"/>
  <c r="O67" i="1"/>
  <c r="S69" i="1"/>
  <c r="O82" i="1"/>
  <c r="S84" i="1"/>
  <c r="O91" i="1"/>
  <c r="O96" i="1"/>
  <c r="S98" i="1"/>
  <c r="O107" i="1"/>
  <c r="S109" i="1"/>
  <c r="S113" i="1"/>
  <c r="O115" i="1"/>
  <c r="S121" i="1"/>
  <c r="U124" i="1"/>
  <c r="M131" i="1"/>
  <c r="M133" i="1" s="1"/>
  <c r="Q137" i="1"/>
  <c r="S140" i="1"/>
  <c r="S13" i="2"/>
  <c r="S23" i="2"/>
  <c r="J32" i="2"/>
  <c r="F78" i="1"/>
  <c r="I26" i="1"/>
  <c r="M51" i="1"/>
  <c r="U51" i="1" s="1"/>
  <c r="U84" i="1"/>
  <c r="Y273" i="2"/>
  <c r="Y259" i="2"/>
  <c r="U121" i="1"/>
  <c r="M123" i="1"/>
  <c r="O136" i="1"/>
  <c r="S137" i="1"/>
  <c r="O139" i="1"/>
  <c r="Q11" i="2"/>
  <c r="U22" i="2"/>
  <c r="M32" i="2"/>
  <c r="G30" i="2"/>
  <c r="G23" i="2" s="1"/>
  <c r="G4" i="2" s="1"/>
  <c r="G15" i="2" s="1"/>
  <c r="G43" i="2"/>
  <c r="P64" i="2"/>
  <c r="T64" i="2" s="1"/>
  <c r="H151" i="2"/>
  <c r="H22" i="2"/>
  <c r="V150" i="2"/>
  <c r="P151" i="2"/>
  <c r="T151" i="2" s="1"/>
  <c r="X150" i="2"/>
  <c r="K348" i="2"/>
  <c r="K307" i="2"/>
  <c r="K310" i="2" s="1"/>
  <c r="X348" i="2"/>
  <c r="R346" i="2"/>
  <c r="P347" i="2"/>
  <c r="X346" i="2"/>
  <c r="V346" i="2"/>
  <c r="T346" i="2"/>
  <c r="Z259" i="2"/>
  <c r="Z273" i="2"/>
  <c r="S132" i="1"/>
  <c r="U137" i="1"/>
  <c r="I6" i="2"/>
  <c r="I17" i="2" s="1"/>
  <c r="X36" i="2"/>
  <c r="V36" i="2"/>
  <c r="T36" i="2"/>
  <c r="R36" i="2"/>
  <c r="U43" i="2"/>
  <c r="U30" i="2"/>
  <c r="X62" i="2"/>
  <c r="V62" i="2"/>
  <c r="T62" i="2"/>
  <c r="R62" i="2"/>
  <c r="X79" i="2"/>
  <c r="V79" i="2"/>
  <c r="T79" i="2"/>
  <c r="R79" i="2"/>
  <c r="L7" i="1"/>
  <c r="N16" i="1"/>
  <c r="M60" i="1"/>
  <c r="U5" i="1"/>
  <c r="M9" i="1"/>
  <c r="U9" i="1" s="1"/>
  <c r="O59" i="1"/>
  <c r="O65" i="1"/>
  <c r="O70" i="1"/>
  <c r="O87" i="1"/>
  <c r="O100" i="1"/>
  <c r="O114" i="1"/>
  <c r="W123" i="1"/>
  <c r="W76" i="1" s="1"/>
  <c r="W5" i="1" s="1"/>
  <c r="W19" i="1" s="1"/>
  <c r="Q30" i="2"/>
  <c r="J43" i="2"/>
  <c r="W30" i="2"/>
  <c r="W43" i="2"/>
  <c r="K57" i="2"/>
  <c r="N67" i="2"/>
  <c r="Y119" i="2"/>
  <c r="Y31" i="2" s="1"/>
  <c r="Y24" i="2" s="1"/>
  <c r="Z118" i="2"/>
  <c r="Z119" i="2" s="1"/>
  <c r="H259" i="2"/>
  <c r="H285" i="2"/>
  <c r="V282" i="2"/>
  <c r="X282" i="2"/>
  <c r="R282" i="2"/>
  <c r="Y29" i="2"/>
  <c r="Y57" i="2"/>
  <c r="J25" i="2"/>
  <c r="T42" i="2"/>
  <c r="R42" i="2"/>
  <c r="L29" i="2"/>
  <c r="L57" i="2"/>
  <c r="Y104" i="2"/>
  <c r="Y105" i="2" s="1"/>
  <c r="Z103" i="2"/>
  <c r="Z104" i="2" s="1"/>
  <c r="Z105" i="2" s="1"/>
  <c r="U157" i="2"/>
  <c r="V157" i="2" s="1"/>
  <c r="V173" i="2"/>
  <c r="N29" i="2"/>
  <c r="Q57" i="2"/>
  <c r="S67" i="2"/>
  <c r="P74" i="2"/>
  <c r="T74" i="2"/>
  <c r="S75" i="2"/>
  <c r="Y111" i="2"/>
  <c r="Z111" i="2" s="1"/>
  <c r="K112" i="2"/>
  <c r="P111" i="2"/>
  <c r="Q151" i="2"/>
  <c r="R151" i="2" s="1"/>
  <c r="R150" i="2"/>
  <c r="Z174" i="2"/>
  <c r="Z155" i="2"/>
  <c r="X275" i="2"/>
  <c r="V275" i="2"/>
  <c r="T275" i="2"/>
  <c r="R275" i="2"/>
  <c r="V289" i="2"/>
  <c r="T289" i="2"/>
  <c r="R289" i="2"/>
  <c r="P290" i="2"/>
  <c r="T330" i="2"/>
  <c r="Y348" i="2"/>
  <c r="Y307" i="2"/>
  <c r="P66" i="2"/>
  <c r="R66" i="2" s="1"/>
  <c r="U93" i="2"/>
  <c r="X178" i="2"/>
  <c r="V178" i="2"/>
  <c r="T178" i="2"/>
  <c r="R178" i="2"/>
  <c r="K203" i="2"/>
  <c r="K188" i="2"/>
  <c r="K190" i="2" s="1"/>
  <c r="U229" i="2"/>
  <c r="U215" i="2" s="1"/>
  <c r="M252" i="2"/>
  <c r="M262" i="2"/>
  <c r="N294" i="2"/>
  <c r="N259" i="2"/>
  <c r="R340" i="2"/>
  <c r="X340" i="2"/>
  <c r="T340" i="2"/>
  <c r="V340" i="2"/>
  <c r="Q43" i="2"/>
  <c r="R65" i="2"/>
  <c r="U67" i="2"/>
  <c r="T71" i="2"/>
  <c r="R104" i="2"/>
  <c r="X143" i="2"/>
  <c r="V143" i="2"/>
  <c r="T143" i="2"/>
  <c r="R143" i="2"/>
  <c r="I158" i="2"/>
  <c r="R157" i="2"/>
  <c r="S174" i="2"/>
  <c r="S155" i="2"/>
  <c r="Z171" i="2"/>
  <c r="Z156" i="2" s="1"/>
  <c r="O190" i="2"/>
  <c r="X198" i="2"/>
  <c r="V198" i="2"/>
  <c r="T198" i="2"/>
  <c r="P200" i="2"/>
  <c r="P203" i="2" s="1"/>
  <c r="S215" i="2"/>
  <c r="S252" i="2"/>
  <c r="Q262" i="2"/>
  <c r="Q251" i="2"/>
  <c r="Z41" i="2"/>
  <c r="Z42" i="2" s="1"/>
  <c r="X49" i="2"/>
  <c r="P52" i="2"/>
  <c r="P54" i="2" s="1"/>
  <c r="R53" i="2"/>
  <c r="P56" i="2"/>
  <c r="X56" i="2" s="1"/>
  <c r="R61" i="2"/>
  <c r="T65" i="2"/>
  <c r="V71" i="2"/>
  <c r="X80" i="2"/>
  <c r="V80" i="2"/>
  <c r="T80" i="2"/>
  <c r="H120" i="2"/>
  <c r="X116" i="2"/>
  <c r="V116" i="2"/>
  <c r="T116" i="2"/>
  <c r="T157" i="2"/>
  <c r="X179" i="2"/>
  <c r="V179" i="2"/>
  <c r="T179" i="2"/>
  <c r="V189" i="2"/>
  <c r="R236" i="2"/>
  <c r="X236" i="2"/>
  <c r="V236" i="2"/>
  <c r="S262" i="2"/>
  <c r="S251" i="2"/>
  <c r="Z419" i="2"/>
  <c r="Z420" i="2" s="1"/>
  <c r="Q420" i="2"/>
  <c r="R420" i="2" s="1"/>
  <c r="Q425" i="2"/>
  <c r="S43" i="2"/>
  <c r="I49" i="2"/>
  <c r="T53" i="2"/>
  <c r="R55" i="2"/>
  <c r="T61" i="2"/>
  <c r="V65" i="2"/>
  <c r="X71" i="2"/>
  <c r="R80" i="2"/>
  <c r="Z112" i="2"/>
  <c r="Z120" i="2" s="1"/>
  <c r="R116" i="2"/>
  <c r="V128" i="2"/>
  <c r="X147" i="2"/>
  <c r="V147" i="2"/>
  <c r="T147" i="2"/>
  <c r="J174" i="2"/>
  <c r="J155" i="2"/>
  <c r="K174" i="2"/>
  <c r="K155" i="2"/>
  <c r="K158" i="2" s="1"/>
  <c r="U174" i="2"/>
  <c r="W174" i="2"/>
  <c r="W156" i="2"/>
  <c r="X171" i="2"/>
  <c r="R179" i="2"/>
  <c r="T236" i="2"/>
  <c r="G262" i="2"/>
  <c r="K259" i="2"/>
  <c r="K273" i="2"/>
  <c r="Z387" i="2"/>
  <c r="Z397" i="2"/>
  <c r="P38" i="2"/>
  <c r="P40" i="2" s="1"/>
  <c r="R39" i="2"/>
  <c r="R51" i="2"/>
  <c r="V53" i="2"/>
  <c r="T55" i="2"/>
  <c r="V61" i="2"/>
  <c r="Y74" i="2"/>
  <c r="X78" i="2"/>
  <c r="V78" i="2"/>
  <c r="T78" i="2"/>
  <c r="R78" i="2"/>
  <c r="V104" i="2"/>
  <c r="X110" i="2"/>
  <c r="V110" i="2"/>
  <c r="T110" i="2"/>
  <c r="R110" i="2"/>
  <c r="W120" i="2"/>
  <c r="J129" i="2"/>
  <c r="X127" i="2"/>
  <c r="V127" i="2"/>
  <c r="R147" i="2"/>
  <c r="V151" i="2"/>
  <c r="P165" i="2"/>
  <c r="X162" i="2"/>
  <c r="V162" i="2"/>
  <c r="T162" i="2"/>
  <c r="L174" i="2"/>
  <c r="L155" i="2"/>
  <c r="L158" i="2" s="1"/>
  <c r="U190" i="2"/>
  <c r="T189" i="2"/>
  <c r="X201" i="2"/>
  <c r="V201" i="2"/>
  <c r="T201" i="2"/>
  <c r="P202" i="2"/>
  <c r="P189" i="2" s="1"/>
  <c r="X189" i="2" s="1"/>
  <c r="X202" i="2"/>
  <c r="J214" i="2"/>
  <c r="J217" i="2" s="1"/>
  <c r="J242" i="2"/>
  <c r="S242" i="2"/>
  <c r="S214" i="2"/>
  <c r="X283" i="2"/>
  <c r="V283" i="2"/>
  <c r="T283" i="2"/>
  <c r="R283" i="2"/>
  <c r="P284" i="2"/>
  <c r="P285" i="2" s="1"/>
  <c r="X285" i="2" s="1"/>
  <c r="V293" i="2"/>
  <c r="T293" i="2"/>
  <c r="X61" i="2"/>
  <c r="Z74" i="2"/>
  <c r="Z75" i="2" s="1"/>
  <c r="M120" i="2"/>
  <c r="K129" i="2"/>
  <c r="X151" i="2"/>
  <c r="Q158" i="2"/>
  <c r="X164" i="2"/>
  <c r="V164" i="2"/>
  <c r="M174" i="2"/>
  <c r="H203" i="2"/>
  <c r="H187" i="2"/>
  <c r="H190" i="2" s="1"/>
  <c r="V195" i="2"/>
  <c r="T195" i="2"/>
  <c r="P187" i="2"/>
  <c r="X187" i="2" s="1"/>
  <c r="L215" i="2"/>
  <c r="L217" i="2" s="1"/>
  <c r="Q216" i="2"/>
  <c r="Q242" i="2"/>
  <c r="O255" i="2"/>
  <c r="G255" i="2"/>
  <c r="Z358" i="2"/>
  <c r="Z370" i="2"/>
  <c r="N358" i="2"/>
  <c r="N370" i="2"/>
  <c r="V368" i="2"/>
  <c r="R368" i="2"/>
  <c r="X368" i="2"/>
  <c r="L359" i="2"/>
  <c r="L353" i="2" s="1"/>
  <c r="L354" i="2" s="1"/>
  <c r="L370" i="2"/>
  <c r="V81" i="2"/>
  <c r="X85" i="2"/>
  <c r="V87" i="2"/>
  <c r="X91" i="2"/>
  <c r="X95" i="2"/>
  <c r="X96" i="2"/>
  <c r="S105" i="2"/>
  <c r="P112" i="2"/>
  <c r="R112" i="2" s="1"/>
  <c r="X126" i="2"/>
  <c r="X135" i="2"/>
  <c r="Q138" i="2"/>
  <c r="X168" i="2"/>
  <c r="J203" i="2"/>
  <c r="Y202" i="2"/>
  <c r="U203" i="2"/>
  <c r="M215" i="2"/>
  <c r="M217" i="2" s="1"/>
  <c r="W223" i="2"/>
  <c r="V234" i="2"/>
  <c r="X247" i="2"/>
  <c r="V247" i="2"/>
  <c r="T247" i="2"/>
  <c r="R247" i="2"/>
  <c r="L273" i="2"/>
  <c r="X279" i="2"/>
  <c r="V279" i="2"/>
  <c r="T279" i="2"/>
  <c r="N252" i="2"/>
  <c r="N4" i="2" s="1"/>
  <c r="Y317" i="2"/>
  <c r="V329" i="2"/>
  <c r="U330" i="2"/>
  <c r="V330" i="2" s="1"/>
  <c r="R334" i="2"/>
  <c r="X334" i="2"/>
  <c r="T334" i="2"/>
  <c r="M348" i="2"/>
  <c r="X342" i="2"/>
  <c r="P345" i="2"/>
  <c r="V342" i="2"/>
  <c r="T342" i="2"/>
  <c r="R342" i="2"/>
  <c r="X74" i="2"/>
  <c r="R77" i="2"/>
  <c r="X87" i="2"/>
  <c r="Q93" i="2"/>
  <c r="P104" i="2"/>
  <c r="T104" i="2" s="1"/>
  <c r="Y112" i="2"/>
  <c r="P119" i="2"/>
  <c r="P125" i="2"/>
  <c r="Y171" i="2"/>
  <c r="V194" i="2"/>
  <c r="T194" i="2"/>
  <c r="R194" i="2"/>
  <c r="N217" i="2"/>
  <c r="X227" i="2"/>
  <c r="V227" i="2"/>
  <c r="T227" i="2"/>
  <c r="R227" i="2"/>
  <c r="X233" i="2"/>
  <c r="V233" i="2"/>
  <c r="T233" i="2"/>
  <c r="I242" i="2"/>
  <c r="I262" i="2"/>
  <c r="I251" i="2"/>
  <c r="R281" i="2"/>
  <c r="X281" i="2"/>
  <c r="J262" i="2"/>
  <c r="J251" i="2"/>
  <c r="J255" i="2" s="1"/>
  <c r="Q303" i="2"/>
  <c r="R303" i="2" s="1"/>
  <c r="R302" i="2"/>
  <c r="Z404" i="2"/>
  <c r="Z407" i="2" s="1"/>
  <c r="Z408" i="2" s="1"/>
  <c r="Y407" i="2"/>
  <c r="T77" i="2"/>
  <c r="P86" i="2"/>
  <c r="R89" i="2"/>
  <c r="Z91" i="2"/>
  <c r="Z92" i="2" s="1"/>
  <c r="Z93" i="2" s="1"/>
  <c r="R103" i="2"/>
  <c r="T109" i="2"/>
  <c r="T114" i="2"/>
  <c r="R118" i="2"/>
  <c r="R124" i="2"/>
  <c r="Z126" i="2"/>
  <c r="Z128" i="2" s="1"/>
  <c r="Z135" i="2"/>
  <c r="Z137" i="2" s="1"/>
  <c r="Z138" i="2" s="1"/>
  <c r="S138" i="2"/>
  <c r="R141" i="2"/>
  <c r="T142" i="2"/>
  <c r="T149" i="2"/>
  <c r="T150" i="2"/>
  <c r="R171" i="2"/>
  <c r="R176" i="2"/>
  <c r="T177" i="2"/>
  <c r="R183" i="2"/>
  <c r="X194" i="2"/>
  <c r="V197" i="2"/>
  <c r="T197" i="2"/>
  <c r="R197" i="2"/>
  <c r="X199" i="2"/>
  <c r="V199" i="2"/>
  <c r="X205" i="2"/>
  <c r="V205" i="2"/>
  <c r="T205" i="2"/>
  <c r="Z227" i="2"/>
  <c r="Z228" i="2" s="1"/>
  <c r="Z229" i="2" s="1"/>
  <c r="Z215" i="2" s="1"/>
  <c r="Y228" i="2"/>
  <c r="Y229" i="2" s="1"/>
  <c r="Y215" i="2" s="1"/>
  <c r="Y217" i="2" s="1"/>
  <c r="R233" i="2"/>
  <c r="N242" i="2"/>
  <c r="U252" i="2"/>
  <c r="Q253" i="2"/>
  <c r="O262" i="2"/>
  <c r="N273" i="2"/>
  <c r="P270" i="2"/>
  <c r="P260" i="2" s="1"/>
  <c r="T260" i="2" s="1"/>
  <c r="X268" i="2"/>
  <c r="V268" i="2"/>
  <c r="T268" i="2"/>
  <c r="T281" i="2"/>
  <c r="S285" i="2"/>
  <c r="T282" i="2"/>
  <c r="J285" i="2"/>
  <c r="T290" i="2"/>
  <c r="T302" i="2"/>
  <c r="S303" i="2"/>
  <c r="T303" i="2" s="1"/>
  <c r="S310" i="2"/>
  <c r="R314" i="2"/>
  <c r="P316" i="2"/>
  <c r="X314" i="2"/>
  <c r="T314" i="2"/>
  <c r="O360" i="2"/>
  <c r="X413" i="2"/>
  <c r="T413" i="2"/>
  <c r="R413" i="2"/>
  <c r="V413" i="2"/>
  <c r="V77" i="2"/>
  <c r="R88" i="2"/>
  <c r="T89" i="2"/>
  <c r="R99" i="2"/>
  <c r="T103" i="2"/>
  <c r="T118" i="2"/>
  <c r="T124" i="2"/>
  <c r="S129" i="2"/>
  <c r="P137" i="2"/>
  <c r="T141" i="2"/>
  <c r="M155" i="2"/>
  <c r="M158" i="2" s="1"/>
  <c r="U155" i="2"/>
  <c r="T176" i="2"/>
  <c r="T183" i="2"/>
  <c r="R187" i="2"/>
  <c r="Z187" i="2"/>
  <c r="Z190" i="2" s="1"/>
  <c r="X197" i="2"/>
  <c r="R199" i="2"/>
  <c r="Q189" i="2"/>
  <c r="Q190" i="2" s="1"/>
  <c r="R202" i="2"/>
  <c r="R205" i="2"/>
  <c r="L259" i="2"/>
  <c r="W260" i="2"/>
  <c r="G273" i="2"/>
  <c r="O273" i="2"/>
  <c r="V281" i="2"/>
  <c r="Q285" i="2"/>
  <c r="R284" i="2"/>
  <c r="X296" i="2"/>
  <c r="V296" i="2"/>
  <c r="T296" i="2"/>
  <c r="V302" i="2"/>
  <c r="V314" i="2"/>
  <c r="T88" i="2"/>
  <c r="V89" i="2"/>
  <c r="P92" i="2"/>
  <c r="R92" i="2" s="1"/>
  <c r="V103" i="2"/>
  <c r="V118" i="2"/>
  <c r="P128" i="2"/>
  <c r="T128" i="2" s="1"/>
  <c r="V176" i="2"/>
  <c r="V183" i="2"/>
  <c r="W203" i="2"/>
  <c r="T202" i="2"/>
  <c r="R207" i="2"/>
  <c r="X207" i="2"/>
  <c r="P228" i="2"/>
  <c r="T228" i="2" s="1"/>
  <c r="H217" i="2"/>
  <c r="P234" i="2"/>
  <c r="T234" i="2" s="1"/>
  <c r="Z214" i="2"/>
  <c r="Z242" i="2"/>
  <c r="Q273" i="2"/>
  <c r="R267" i="2"/>
  <c r="V292" i="2"/>
  <c r="T292" i="2"/>
  <c r="R292" i="2"/>
  <c r="X292" i="2"/>
  <c r="Z308" i="2"/>
  <c r="Z252" i="2" s="1"/>
  <c r="Z317" i="2"/>
  <c r="Q308" i="2"/>
  <c r="Q317" i="2"/>
  <c r="V345" i="2"/>
  <c r="U309" i="2"/>
  <c r="V347" i="2"/>
  <c r="G353" i="2"/>
  <c r="G360" i="2"/>
  <c r="L190" i="2"/>
  <c r="T187" i="2"/>
  <c r="G203" i="2"/>
  <c r="O203" i="2"/>
  <c r="X195" i="2"/>
  <c r="V202" i="2"/>
  <c r="T207" i="2"/>
  <c r="R228" i="2"/>
  <c r="X235" i="2"/>
  <c r="V235" i="2"/>
  <c r="T235" i="2"/>
  <c r="R235" i="2"/>
  <c r="H242" i="2"/>
  <c r="W261" i="2"/>
  <c r="X272" i="2"/>
  <c r="X293" i="2"/>
  <c r="Z310" i="2"/>
  <c r="R330" i="2"/>
  <c r="U348" i="2"/>
  <c r="X345" i="2"/>
  <c r="H423" i="2"/>
  <c r="H425" i="2" s="1"/>
  <c r="H433" i="2"/>
  <c r="P433" i="2"/>
  <c r="R433" i="2" s="1"/>
  <c r="P423" i="2"/>
  <c r="R423" i="2" s="1"/>
  <c r="R430" i="2"/>
  <c r="X430" i="2"/>
  <c r="P222" i="2"/>
  <c r="X222" i="2" s="1"/>
  <c r="P272" i="2"/>
  <c r="X302" i="2"/>
  <c r="I308" i="2"/>
  <c r="I252" i="2" s="1"/>
  <c r="I4" i="2" s="1"/>
  <c r="I15" i="2" s="1"/>
  <c r="I317" i="2"/>
  <c r="H307" i="2"/>
  <c r="H310" i="2" s="1"/>
  <c r="H330" i="2"/>
  <c r="P330" i="2"/>
  <c r="Z330" i="2"/>
  <c r="X347" i="2"/>
  <c r="R365" i="2"/>
  <c r="Q358" i="2"/>
  <c r="Q370" i="2"/>
  <c r="Z359" i="2"/>
  <c r="Z448" i="2"/>
  <c r="Z441" i="2" s="1"/>
  <c r="Z442" i="2" s="1"/>
  <c r="Z443" i="2" s="1"/>
  <c r="Y441" i="2"/>
  <c r="Y442" i="2" s="1"/>
  <c r="Y443" i="2" s="1"/>
  <c r="R221" i="2"/>
  <c r="R246" i="2"/>
  <c r="V267" i="2"/>
  <c r="R271" i="2"/>
  <c r="U285" i="2"/>
  <c r="X297" i="2"/>
  <c r="V297" i="2"/>
  <c r="O310" i="2"/>
  <c r="W308" i="2"/>
  <c r="W310" i="2" s="1"/>
  <c r="T316" i="2"/>
  <c r="X328" i="2"/>
  <c r="V328" i="2"/>
  <c r="T328" i="2"/>
  <c r="R328" i="2"/>
  <c r="P341" i="2"/>
  <c r="P348" i="2" s="1"/>
  <c r="T348" i="2" s="1"/>
  <c r="X339" i="2"/>
  <c r="V339" i="2"/>
  <c r="T339" i="2"/>
  <c r="I358" i="2"/>
  <c r="I370" i="2"/>
  <c r="T365" i="2"/>
  <c r="S370" i="2"/>
  <c r="S358" i="2"/>
  <c r="X378" i="2"/>
  <c r="P379" i="2"/>
  <c r="X379" i="2" s="1"/>
  <c r="T378" i="2"/>
  <c r="R378" i="2"/>
  <c r="G397" i="2"/>
  <c r="G387" i="2"/>
  <c r="G389" i="2" s="1"/>
  <c r="O397" i="2"/>
  <c r="O387" i="2"/>
  <c r="T408" i="2"/>
  <c r="V497" i="2"/>
  <c r="X497" i="2"/>
  <c r="T497" i="2"/>
  <c r="R497" i="2"/>
  <c r="R210" i="2"/>
  <c r="T221" i="2"/>
  <c r="R222" i="2"/>
  <c r="R245" i="2"/>
  <c r="T246" i="2"/>
  <c r="T271" i="2"/>
  <c r="N285" i="2"/>
  <c r="Q310" i="2"/>
  <c r="V316" i="2"/>
  <c r="R327" i="2"/>
  <c r="Z328" i="2"/>
  <c r="Z329" i="2" s="1"/>
  <c r="Y329" i="2"/>
  <c r="Y330" i="2" s="1"/>
  <c r="X332" i="2"/>
  <c r="V332" i="2"/>
  <c r="T332" i="2"/>
  <c r="R345" i="2"/>
  <c r="R379" i="2"/>
  <c r="V408" i="2"/>
  <c r="Z418" i="2"/>
  <c r="Y419" i="2"/>
  <c r="Y420" i="2" s="1"/>
  <c r="R209" i="2"/>
  <c r="T210" i="2"/>
  <c r="P237" i="2"/>
  <c r="P239" i="2" s="1"/>
  <c r="R238" i="2"/>
  <c r="P241" i="2"/>
  <c r="P216" i="2" s="1"/>
  <c r="V216" i="2" s="1"/>
  <c r="L242" i="2"/>
  <c r="R244" i="2"/>
  <c r="T245" i="2"/>
  <c r="X267" i="2"/>
  <c r="R290" i="2"/>
  <c r="W303" i="2"/>
  <c r="X303" i="2" s="1"/>
  <c r="L308" i="2"/>
  <c r="L252" i="2" s="1"/>
  <c r="L317" i="2"/>
  <c r="X316" i="2"/>
  <c r="X322" i="2"/>
  <c r="V322" i="2"/>
  <c r="T322" i="2"/>
  <c r="R322" i="2"/>
  <c r="T327" i="2"/>
  <c r="R332" i="2"/>
  <c r="Z348" i="2"/>
  <c r="T345" i="2"/>
  <c r="T379" i="2"/>
  <c r="R383" i="2"/>
  <c r="X383" i="2"/>
  <c r="V383" i="2"/>
  <c r="T383" i="2"/>
  <c r="Y352" i="2"/>
  <c r="X407" i="2"/>
  <c r="W408" i="2"/>
  <c r="X408" i="2" s="1"/>
  <c r="R461" i="2"/>
  <c r="P454" i="2"/>
  <c r="X454" i="2" s="1"/>
  <c r="X461" i="2"/>
  <c r="X537" i="2"/>
  <c r="V537" i="2"/>
  <c r="T537" i="2"/>
  <c r="R537" i="2"/>
  <c r="R293" i="2"/>
  <c r="I310" i="2"/>
  <c r="X326" i="2"/>
  <c r="V326" i="2"/>
  <c r="T326" i="2"/>
  <c r="W330" i="2"/>
  <c r="X330" i="2" s="1"/>
  <c r="R329" i="2"/>
  <c r="L348" i="2"/>
  <c r="X344" i="2"/>
  <c r="T344" i="2"/>
  <c r="R344" i="2"/>
  <c r="R366" i="2"/>
  <c r="X366" i="2"/>
  <c r="T366" i="2"/>
  <c r="P369" i="2"/>
  <c r="V369" i="2" s="1"/>
  <c r="W397" i="2"/>
  <c r="W387" i="2"/>
  <c r="O388" i="2"/>
  <c r="O353" i="2" s="1"/>
  <c r="J397" i="2"/>
  <c r="O433" i="2"/>
  <c r="O423" i="2"/>
  <c r="O425" i="2" s="1"/>
  <c r="V431" i="2"/>
  <c r="R431" i="2"/>
  <c r="P432" i="2"/>
  <c r="X431" i="2"/>
  <c r="T431" i="2"/>
  <c r="Y460" i="2"/>
  <c r="Y453" i="2" s="1"/>
  <c r="M477" i="2"/>
  <c r="M459" i="2"/>
  <c r="U520" i="2"/>
  <c r="U359" i="2"/>
  <c r="I379" i="2"/>
  <c r="X399" i="2"/>
  <c r="T399" i="2"/>
  <c r="R399" i="2"/>
  <c r="R407" i="2"/>
  <c r="Q408" i="2"/>
  <c r="R408" i="2" s="1"/>
  <c r="Q388" i="2"/>
  <c r="X442" i="2"/>
  <c r="W424" i="2"/>
  <c r="V445" i="2"/>
  <c r="T445" i="2"/>
  <c r="X445" i="2"/>
  <c r="H462" i="2"/>
  <c r="H452" i="2"/>
  <c r="H455" i="2" s="1"/>
  <c r="L477" i="2"/>
  <c r="L461" i="2"/>
  <c r="T493" i="2"/>
  <c r="S461" i="2"/>
  <c r="S494" i="2"/>
  <c r="N452" i="2"/>
  <c r="N455" i="2" s="1"/>
  <c r="N508" i="2"/>
  <c r="U518" i="2"/>
  <c r="U525" i="2"/>
  <c r="V525" i="2" s="1"/>
  <c r="V524" i="2"/>
  <c r="X584" i="2"/>
  <c r="R584" i="2"/>
  <c r="P574" i="2"/>
  <c r="V584" i="2"/>
  <c r="T584" i="2"/>
  <c r="X301" i="2"/>
  <c r="R321" i="2"/>
  <c r="V341" i="2"/>
  <c r="U358" i="2"/>
  <c r="V364" i="2"/>
  <c r="R364" i="2"/>
  <c r="P365" i="2"/>
  <c r="V365" i="2"/>
  <c r="L388" i="2"/>
  <c r="P388" i="2" s="1"/>
  <c r="V388" i="2" s="1"/>
  <c r="V399" i="2"/>
  <c r="I408" i="2"/>
  <c r="I388" i="2"/>
  <c r="I353" i="2" s="1"/>
  <c r="V410" i="2"/>
  <c r="R410" i="2"/>
  <c r="J433" i="2"/>
  <c r="T430" i="2"/>
  <c r="S423" i="2"/>
  <c r="V432" i="2"/>
  <c r="S433" i="2"/>
  <c r="R445" i="2"/>
  <c r="G477" i="2"/>
  <c r="G459" i="2"/>
  <c r="O477" i="2"/>
  <c r="O459" i="2"/>
  <c r="R291" i="2"/>
  <c r="M307" i="2"/>
  <c r="U307" i="2"/>
  <c r="R320" i="2"/>
  <c r="T321" i="2"/>
  <c r="R335" i="2"/>
  <c r="T364" i="2"/>
  <c r="Q387" i="2"/>
  <c r="J389" i="2"/>
  <c r="Y399" i="2"/>
  <c r="Z399" i="2" s="1"/>
  <c r="T407" i="2"/>
  <c r="T410" i="2"/>
  <c r="P419" i="2"/>
  <c r="P420" i="2" s="1"/>
  <c r="T420" i="2" s="1"/>
  <c r="V417" i="2"/>
  <c r="T417" i="2"/>
  <c r="W420" i="2"/>
  <c r="L425" i="2"/>
  <c r="K433" i="2"/>
  <c r="K423" i="2"/>
  <c r="K425" i="2" s="1"/>
  <c r="U433" i="2"/>
  <c r="V430" i="2"/>
  <c r="Y432" i="2"/>
  <c r="Z431" i="2"/>
  <c r="Z432" i="2" s="1"/>
  <c r="V454" i="2"/>
  <c r="J462" i="2"/>
  <c r="I462" i="2"/>
  <c r="I453" i="2"/>
  <c r="I455" i="2" s="1"/>
  <c r="Y525" i="2"/>
  <c r="X532" i="2"/>
  <c r="R532" i="2"/>
  <c r="V532" i="2"/>
  <c r="T532" i="2"/>
  <c r="P533" i="2"/>
  <c r="X533" i="2" s="1"/>
  <c r="T291" i="2"/>
  <c r="T320" i="2"/>
  <c r="T335" i="2"/>
  <c r="K358" i="2"/>
  <c r="X364" i="2"/>
  <c r="M370" i="2"/>
  <c r="Y360" i="2"/>
  <c r="H359" i="2"/>
  <c r="V377" i="2"/>
  <c r="R377" i="2"/>
  <c r="U379" i="2"/>
  <c r="V379" i="2" s="1"/>
  <c r="V378" i="2"/>
  <c r="P394" i="2"/>
  <c r="R394" i="2" s="1"/>
  <c r="V393" i="2"/>
  <c r="T393" i="2"/>
  <c r="U397" i="2"/>
  <c r="U387" i="2"/>
  <c r="Y400" i="2"/>
  <c r="Z400" i="2" s="1"/>
  <c r="V400" i="2"/>
  <c r="T400" i="2"/>
  <c r="V407" i="2"/>
  <c r="X410" i="2"/>
  <c r="R417" i="2"/>
  <c r="M423" i="2"/>
  <c r="M425" i="2" s="1"/>
  <c r="U424" i="2"/>
  <c r="X433" i="2"/>
  <c r="V435" i="2"/>
  <c r="T435" i="2"/>
  <c r="R435" i="2"/>
  <c r="X441" i="2"/>
  <c r="T441" i="2"/>
  <c r="R441" i="2"/>
  <c r="V441" i="2"/>
  <c r="R446" i="2"/>
  <c r="X446" i="2"/>
  <c r="T446" i="2"/>
  <c r="I477" i="2"/>
  <c r="S477" i="2"/>
  <c r="S459" i="2"/>
  <c r="V487" i="2"/>
  <c r="X487" i="2"/>
  <c r="P491" i="2"/>
  <c r="R487" i="2"/>
  <c r="T487" i="2"/>
  <c r="S550" i="2"/>
  <c r="N425" i="2"/>
  <c r="V448" i="2"/>
  <c r="R448" i="2"/>
  <c r="T448" i="2"/>
  <c r="U477" i="2"/>
  <c r="U459" i="2"/>
  <c r="V474" i="2"/>
  <c r="T476" i="2"/>
  <c r="X476" i="2"/>
  <c r="V505" i="2"/>
  <c r="M358" i="2"/>
  <c r="J359" i="2"/>
  <c r="J353" i="2" s="1"/>
  <c r="Y370" i="2"/>
  <c r="X377" i="2"/>
  <c r="X382" i="2"/>
  <c r="T382" i="2"/>
  <c r="R382" i="2"/>
  <c r="I387" i="2"/>
  <c r="S388" i="2"/>
  <c r="X393" i="2"/>
  <c r="M397" i="2"/>
  <c r="M387" i="2"/>
  <c r="M389" i="2" s="1"/>
  <c r="X400" i="2"/>
  <c r="R405" i="2"/>
  <c r="X405" i="2"/>
  <c r="Y433" i="2"/>
  <c r="R442" i="2"/>
  <c r="X448" i="2"/>
  <c r="R454" i="2"/>
  <c r="K491" i="2"/>
  <c r="K494" i="2" s="1"/>
  <c r="P489" i="2"/>
  <c r="Q520" i="2"/>
  <c r="H518" i="2"/>
  <c r="H525" i="2"/>
  <c r="X524" i="2"/>
  <c r="P525" i="2"/>
  <c r="X525" i="2" s="1"/>
  <c r="P396" i="2"/>
  <c r="X396" i="2" s="1"/>
  <c r="T442" i="2"/>
  <c r="K477" i="2"/>
  <c r="K459" i="2"/>
  <c r="W477" i="2"/>
  <c r="W459" i="2"/>
  <c r="V472" i="2"/>
  <c r="T472" i="2"/>
  <c r="R472" i="2"/>
  <c r="Q460" i="2"/>
  <c r="R480" i="2"/>
  <c r="X480" i="2"/>
  <c r="V480" i="2"/>
  <c r="Z505" i="2"/>
  <c r="Z508" i="2" s="1"/>
  <c r="X365" i="2"/>
  <c r="R373" i="2"/>
  <c r="R395" i="2"/>
  <c r="R412" i="2"/>
  <c r="Z433" i="2"/>
  <c r="V442" i="2"/>
  <c r="U443" i="2"/>
  <c r="V443" i="2" s="1"/>
  <c r="R443" i="2"/>
  <c r="V470" i="2"/>
  <c r="P474" i="2"/>
  <c r="R470" i="2"/>
  <c r="X472" i="2"/>
  <c r="S460" i="2"/>
  <c r="T474" i="2"/>
  <c r="R488" i="2"/>
  <c r="X488" i="2"/>
  <c r="V488" i="2"/>
  <c r="T488" i="2"/>
  <c r="Y520" i="2"/>
  <c r="T372" i="2"/>
  <c r="T381" i="2"/>
  <c r="T411" i="2"/>
  <c r="R437" i="2"/>
  <c r="X437" i="2"/>
  <c r="Y469" i="2"/>
  <c r="Z466" i="2"/>
  <c r="Z469" i="2" s="1"/>
  <c r="X470" i="2"/>
  <c r="W460" i="2"/>
  <c r="X474" i="2"/>
  <c r="J460" i="2"/>
  <c r="J453" i="2" s="1"/>
  <c r="J455" i="2" s="1"/>
  <c r="J494" i="2"/>
  <c r="X505" i="2"/>
  <c r="L518" i="2"/>
  <c r="L9" i="2" s="1"/>
  <c r="L11" i="2" s="1"/>
  <c r="T538" i="2"/>
  <c r="X538" i="2"/>
  <c r="V538" i="2"/>
  <c r="R538" i="2"/>
  <c r="R574" i="2"/>
  <c r="Q575" i="2"/>
  <c r="U605" i="2"/>
  <c r="T539" i="2"/>
  <c r="X539" i="2"/>
  <c r="V539" i="2"/>
  <c r="R539" i="2"/>
  <c r="X545" i="2"/>
  <c r="V545" i="2"/>
  <c r="T545" i="2"/>
  <c r="R545" i="2"/>
  <c r="I518" i="2"/>
  <c r="I9" i="2" s="1"/>
  <c r="I11" i="2" s="1"/>
  <c r="I575" i="2"/>
  <c r="N433" i="2"/>
  <c r="V437" i="2"/>
  <c r="V461" i="2"/>
  <c r="Q477" i="2"/>
  <c r="V475" i="2"/>
  <c r="T475" i="2"/>
  <c r="R475" i="2"/>
  <c r="T504" i="2"/>
  <c r="X504" i="2"/>
  <c r="V504" i="2"/>
  <c r="R504" i="2"/>
  <c r="W520" i="2"/>
  <c r="O518" i="2"/>
  <c r="O550" i="2"/>
  <c r="V574" i="2"/>
  <c r="P469" i="2"/>
  <c r="T469" i="2" s="1"/>
  <c r="X496" i="2"/>
  <c r="X503" i="2"/>
  <c r="R524" i="2"/>
  <c r="V533" i="2"/>
  <c r="X544" i="2"/>
  <c r="R544" i="2"/>
  <c r="P549" i="2"/>
  <c r="X554" i="2"/>
  <c r="V436" i="2"/>
  <c r="R468" i="2"/>
  <c r="R471" i="2"/>
  <c r="V473" i="2"/>
  <c r="R476" i="2"/>
  <c r="X490" i="2"/>
  <c r="R490" i="2"/>
  <c r="U494" i="2"/>
  <c r="R498" i="2"/>
  <c r="T511" i="2"/>
  <c r="S525" i="2"/>
  <c r="T525" i="2" s="1"/>
  <c r="S518" i="2"/>
  <c r="S520" i="2" s="1"/>
  <c r="Q525" i="2"/>
  <c r="R542" i="2"/>
  <c r="T544" i="2"/>
  <c r="X578" i="2"/>
  <c r="T578" i="2"/>
  <c r="X590" i="2"/>
  <c r="R590" i="2"/>
  <c r="V596" i="2"/>
  <c r="R596" i="2"/>
  <c r="R467" i="2"/>
  <c r="T468" i="2"/>
  <c r="T471" i="2"/>
  <c r="R482" i="2"/>
  <c r="T490" i="2"/>
  <c r="T498" i="2"/>
  <c r="I508" i="2"/>
  <c r="V511" i="2"/>
  <c r="K525" i="2"/>
  <c r="K518" i="2"/>
  <c r="K9" i="2" s="1"/>
  <c r="T524" i="2"/>
  <c r="T542" i="2"/>
  <c r="V544" i="2"/>
  <c r="X569" i="2"/>
  <c r="R569" i="2"/>
  <c r="R578" i="2"/>
  <c r="P591" i="2"/>
  <c r="R591" i="2" s="1"/>
  <c r="R588" i="2"/>
  <c r="X588" i="2"/>
  <c r="R589" i="2"/>
  <c r="T590" i="2"/>
  <c r="T596" i="2"/>
  <c r="S591" i="2"/>
  <c r="T591" i="2" s="1"/>
  <c r="T589" i="2"/>
  <c r="K604" i="2"/>
  <c r="K605" i="2" s="1"/>
  <c r="P603" i="2"/>
  <c r="T466" i="2"/>
  <c r="X482" i="2"/>
  <c r="X553" i="2"/>
  <c r="T557" i="2"/>
  <c r="T567" i="2"/>
  <c r="V569" i="2"/>
  <c r="T574" i="2"/>
  <c r="S575" i="2"/>
  <c r="U575" i="2"/>
  <c r="V583" i="2"/>
  <c r="R583" i="2"/>
  <c r="V588" i="2"/>
  <c r="Q494" i="2"/>
  <c r="U508" i="2"/>
  <c r="K517" i="2"/>
  <c r="N525" i="2"/>
  <c r="N518" i="2"/>
  <c r="N9" i="2" s="1"/>
  <c r="N11" i="2" s="1"/>
  <c r="G534" i="2"/>
  <c r="G517" i="2"/>
  <c r="U550" i="2"/>
  <c r="V481" i="2"/>
  <c r="R496" i="2"/>
  <c r="P505" i="2"/>
  <c r="T503" i="2"/>
  <c r="R512" i="2"/>
  <c r="V513" i="2"/>
  <c r="J518" i="2"/>
  <c r="V543" i="2"/>
  <c r="R554" i="2"/>
  <c r="P561" i="2"/>
  <c r="P517" i="2" s="1"/>
  <c r="K563" i="2"/>
  <c r="Q563" i="2"/>
  <c r="X591" i="2"/>
  <c r="R598" i="2"/>
  <c r="X598" i="2"/>
  <c r="V598" i="2"/>
  <c r="V609" i="2"/>
  <c r="T609" i="2"/>
  <c r="R609" i="2"/>
  <c r="V608" i="2"/>
  <c r="V618" i="2"/>
  <c r="P628" i="2"/>
  <c r="R597" i="2"/>
  <c r="W605" i="2"/>
  <c r="X608" i="2"/>
  <c r="P613" i="2"/>
  <c r="X613" i="2"/>
  <c r="R617" i="2"/>
  <c r="X618" i="2"/>
  <c r="T597" i="2"/>
  <c r="T617" i="2"/>
  <c r="T599" i="2"/>
  <c r="T627" i="2"/>
  <c r="J622" i="2"/>
  <c r="Z622" i="2"/>
  <c r="V627" i="2"/>
  <c r="U217" i="2" l="1"/>
  <c r="O133" i="1"/>
  <c r="Q133" i="1"/>
  <c r="T239" i="2"/>
  <c r="V239" i="2"/>
  <c r="X239" i="2"/>
  <c r="R239" i="2"/>
  <c r="T203" i="2"/>
  <c r="R203" i="2"/>
  <c r="W78" i="1"/>
  <c r="W3" i="1"/>
  <c r="T517" i="2"/>
  <c r="X517" i="2"/>
  <c r="V517" i="2"/>
  <c r="P8" i="2"/>
  <c r="R517" i="2"/>
  <c r="V54" i="2"/>
  <c r="P57" i="2"/>
  <c r="R57" i="2" s="1"/>
  <c r="T54" i="2"/>
  <c r="R54" i="2"/>
  <c r="X54" i="2"/>
  <c r="T40" i="2"/>
  <c r="P43" i="2"/>
  <c r="R40" i="2"/>
  <c r="V40" i="2"/>
  <c r="X40" i="2"/>
  <c r="X469" i="2"/>
  <c r="P494" i="2"/>
  <c r="X494" i="2" s="1"/>
  <c r="T491" i="2"/>
  <c r="X491" i="2"/>
  <c r="U254" i="2"/>
  <c r="S158" i="2"/>
  <c r="T155" i="2"/>
  <c r="S25" i="2"/>
  <c r="Z30" i="2"/>
  <c r="Z23" i="2" s="1"/>
  <c r="Z4" i="2" s="1"/>
  <c r="Z15" i="2" s="1"/>
  <c r="Z623" i="2"/>
  <c r="Z12" i="2"/>
  <c r="V137" i="2"/>
  <c r="P138" i="2"/>
  <c r="X138" i="2" s="1"/>
  <c r="X241" i="2"/>
  <c r="T138" i="2"/>
  <c r="I255" i="2"/>
  <c r="Y156" i="2"/>
  <c r="Y158" i="2" s="1"/>
  <c r="Y174" i="2"/>
  <c r="Y189" i="2"/>
  <c r="Y190" i="2" s="1"/>
  <c r="Y203" i="2"/>
  <c r="S217" i="2"/>
  <c r="R43" i="2"/>
  <c r="Z262" i="2"/>
  <c r="Z251" i="2"/>
  <c r="Z255" i="2" s="1"/>
  <c r="H25" i="2"/>
  <c r="T20" i="1"/>
  <c r="E17" i="1"/>
  <c r="E21" i="1" s="1"/>
  <c r="E7" i="1"/>
  <c r="H17" i="1"/>
  <c r="H21" i="1" s="1"/>
  <c r="H7" i="1"/>
  <c r="K520" i="2"/>
  <c r="K8" i="2"/>
  <c r="K11" i="2" s="1"/>
  <c r="D17" i="1"/>
  <c r="D21" i="1" s="1"/>
  <c r="D7" i="1"/>
  <c r="G352" i="2"/>
  <c r="R494" i="2"/>
  <c r="V494" i="2"/>
  <c r="P460" i="2"/>
  <c r="J4" i="2"/>
  <c r="U462" i="2"/>
  <c r="V459" i="2"/>
  <c r="U452" i="2"/>
  <c r="V424" i="2"/>
  <c r="K352" i="2"/>
  <c r="K354" i="2" s="1"/>
  <c r="K360" i="2"/>
  <c r="Z424" i="2"/>
  <c r="Z425" i="2" s="1"/>
  <c r="X420" i="2"/>
  <c r="T394" i="2"/>
  <c r="X423" i="2"/>
  <c r="U9" i="2"/>
  <c r="X388" i="2"/>
  <c r="Z388" i="2"/>
  <c r="Z217" i="2"/>
  <c r="X203" i="2"/>
  <c r="W252" i="2"/>
  <c r="W262" i="2"/>
  <c r="X260" i="2"/>
  <c r="P308" i="2"/>
  <c r="P317" i="2"/>
  <c r="V200" i="2"/>
  <c r="X125" i="2"/>
  <c r="P129" i="2"/>
  <c r="V125" i="2"/>
  <c r="X112" i="2"/>
  <c r="K262" i="2"/>
  <c r="K251" i="2"/>
  <c r="K255" i="2" s="1"/>
  <c r="Q3" i="2"/>
  <c r="L310" i="2"/>
  <c r="P75" i="2"/>
  <c r="R74" i="2"/>
  <c r="Q32" i="2"/>
  <c r="Q23" i="2"/>
  <c r="T7" i="1"/>
  <c r="U25" i="2"/>
  <c r="M76" i="1"/>
  <c r="S123" i="1"/>
  <c r="Q123" i="1"/>
  <c r="T137" i="2"/>
  <c r="V138" i="2"/>
  <c r="M11" i="1"/>
  <c r="S8" i="1"/>
  <c r="G32" i="2"/>
  <c r="S77" i="1"/>
  <c r="P6" i="1"/>
  <c r="F21" i="1"/>
  <c r="T18" i="1"/>
  <c r="O38" i="1"/>
  <c r="Q8" i="1"/>
  <c r="V120" i="1"/>
  <c r="V75" i="1" s="1"/>
  <c r="W425" i="2"/>
  <c r="J158" i="2"/>
  <c r="J3" i="2"/>
  <c r="V270" i="2"/>
  <c r="V508" i="2"/>
  <c r="P387" i="2"/>
  <c r="P397" i="2"/>
  <c r="P604" i="2"/>
  <c r="X603" i="2"/>
  <c r="P605" i="2"/>
  <c r="T603" i="2"/>
  <c r="R603" i="2"/>
  <c r="V603" i="2"/>
  <c r="W453" i="2"/>
  <c r="X460" i="2"/>
  <c r="R460" i="2"/>
  <c r="Q462" i="2"/>
  <c r="Q453" i="2"/>
  <c r="V477" i="2"/>
  <c r="X341" i="2"/>
  <c r="Y424" i="2"/>
  <c r="Y425" i="2" s="1"/>
  <c r="X419" i="2"/>
  <c r="U310" i="2"/>
  <c r="U251" i="2"/>
  <c r="V423" i="2"/>
  <c r="L360" i="2"/>
  <c r="T237" i="2"/>
  <c r="X237" i="2"/>
  <c r="V237" i="2"/>
  <c r="R237" i="2"/>
  <c r="W353" i="2"/>
  <c r="I360" i="2"/>
  <c r="I352" i="2"/>
  <c r="I354" i="2" s="1"/>
  <c r="V285" i="2"/>
  <c r="V420" i="2"/>
  <c r="X261" i="2"/>
  <c r="W253" i="2"/>
  <c r="R308" i="2"/>
  <c r="P214" i="2"/>
  <c r="X234" i="2"/>
  <c r="P242" i="2"/>
  <c r="V242" i="2" s="1"/>
  <c r="R234" i="2"/>
  <c r="L389" i="2"/>
  <c r="L262" i="2"/>
  <c r="L251" i="2"/>
  <c r="L255" i="2" s="1"/>
  <c r="T285" i="2"/>
  <c r="Q5" i="2"/>
  <c r="P93" i="2"/>
  <c r="V93" i="2" s="1"/>
  <c r="T86" i="2"/>
  <c r="R119" i="2"/>
  <c r="X119" i="2"/>
  <c r="X270" i="2"/>
  <c r="V165" i="2"/>
  <c r="P174" i="2"/>
  <c r="R174" i="2" s="1"/>
  <c r="P155" i="2"/>
  <c r="W158" i="2"/>
  <c r="X92" i="2"/>
  <c r="I29" i="2"/>
  <c r="I57" i="2"/>
  <c r="S255" i="2"/>
  <c r="R125" i="2"/>
  <c r="V92" i="2"/>
  <c r="V56" i="2"/>
  <c r="T56" i="2"/>
  <c r="T92" i="2"/>
  <c r="V86" i="2"/>
  <c r="P294" i="2"/>
  <c r="X290" i="2"/>
  <c r="V290" i="2"/>
  <c r="R137" i="2"/>
  <c r="O60" i="1"/>
  <c r="M44" i="1"/>
  <c r="Q44" i="1" s="1"/>
  <c r="U60" i="1"/>
  <c r="X64" i="2"/>
  <c r="P67" i="2"/>
  <c r="X67" i="2" s="1"/>
  <c r="N18" i="1"/>
  <c r="V119" i="2"/>
  <c r="O4" i="2"/>
  <c r="R64" i="2"/>
  <c r="T241" i="2"/>
  <c r="S133" i="1"/>
  <c r="I17" i="1"/>
  <c r="I21" i="1" s="1"/>
  <c r="I7" i="1"/>
  <c r="P17" i="1"/>
  <c r="P7" i="1"/>
  <c r="O123" i="1"/>
  <c r="R549" i="2"/>
  <c r="P550" i="2"/>
  <c r="X549" i="2"/>
  <c r="L462" i="2"/>
  <c r="L454" i="2"/>
  <c r="L455" i="2" s="1"/>
  <c r="V203" i="2"/>
  <c r="J623" i="2"/>
  <c r="J12" i="2"/>
  <c r="V549" i="2"/>
  <c r="V550" i="2"/>
  <c r="H520" i="2"/>
  <c r="H9" i="2"/>
  <c r="H11" i="2" s="1"/>
  <c r="T388" i="2"/>
  <c r="S353" i="2"/>
  <c r="S4" i="2" s="1"/>
  <c r="S389" i="2"/>
  <c r="T549" i="2"/>
  <c r="P562" i="2"/>
  <c r="P563" i="2" s="1"/>
  <c r="X561" i="2"/>
  <c r="V561" i="2"/>
  <c r="T561" i="2"/>
  <c r="R561" i="2"/>
  <c r="G520" i="2"/>
  <c r="G8" i="2"/>
  <c r="G11" i="2" s="1"/>
  <c r="K460" i="2"/>
  <c r="K453" i="2" s="1"/>
  <c r="K4" i="2" s="1"/>
  <c r="K15" i="2" s="1"/>
  <c r="R474" i="2"/>
  <c r="U425" i="2"/>
  <c r="V425" i="2" s="1"/>
  <c r="I389" i="2"/>
  <c r="M360" i="2"/>
  <c r="M352" i="2"/>
  <c r="M354" i="2" s="1"/>
  <c r="V469" i="2"/>
  <c r="P534" i="2"/>
  <c r="S452" i="2"/>
  <c r="S462" i="2"/>
  <c r="T459" i="2"/>
  <c r="V387" i="2"/>
  <c r="U389" i="2"/>
  <c r="R387" i="2"/>
  <c r="Q389" i="2"/>
  <c r="M251" i="2"/>
  <c r="M255" i="2" s="1"/>
  <c r="M310" i="2"/>
  <c r="T433" i="2"/>
  <c r="P370" i="2"/>
  <c r="P358" i="2"/>
  <c r="T419" i="2"/>
  <c r="U353" i="2"/>
  <c r="X387" i="2"/>
  <c r="W389" i="2"/>
  <c r="W352" i="2"/>
  <c r="H352" i="2"/>
  <c r="P261" i="2"/>
  <c r="R272" i="2"/>
  <c r="V272" i="2"/>
  <c r="T272" i="2"/>
  <c r="R270" i="2"/>
  <c r="R316" i="2"/>
  <c r="R348" i="2"/>
  <c r="V241" i="2"/>
  <c r="Y120" i="2"/>
  <c r="R138" i="2"/>
  <c r="R216" i="2"/>
  <c r="Q217" i="2"/>
  <c r="T284" i="2"/>
  <c r="X284" i="2"/>
  <c r="V284" i="2"/>
  <c r="R38" i="2"/>
  <c r="V38" i="2"/>
  <c r="X38" i="2"/>
  <c r="T38" i="2"/>
  <c r="T43" i="2"/>
  <c r="T119" i="2"/>
  <c r="X86" i="2"/>
  <c r="L22" i="2"/>
  <c r="L32" i="2"/>
  <c r="H251" i="2"/>
  <c r="H255" i="2" s="1"/>
  <c r="H262" i="2"/>
  <c r="G25" i="2"/>
  <c r="Y262" i="2"/>
  <c r="Y251" i="2"/>
  <c r="Y255" i="2" s="1"/>
  <c r="T66" i="2"/>
  <c r="R17" i="1"/>
  <c r="R7" i="1"/>
  <c r="U133" i="1"/>
  <c r="T171" i="2"/>
  <c r="P156" i="2"/>
  <c r="V171" i="2"/>
  <c r="R19" i="1"/>
  <c r="T216" i="2"/>
  <c r="Q43" i="1"/>
  <c r="R18" i="1"/>
  <c r="P252" i="2"/>
  <c r="V43" i="2"/>
  <c r="W462" i="2"/>
  <c r="W452" i="2"/>
  <c r="G462" i="2"/>
  <c r="G452" i="2"/>
  <c r="G455" i="2" s="1"/>
  <c r="P614" i="2"/>
  <c r="T613" i="2"/>
  <c r="V613" i="2"/>
  <c r="R613" i="2"/>
  <c r="T505" i="2"/>
  <c r="P508" i="2"/>
  <c r="R505" i="2"/>
  <c r="V491" i="2"/>
  <c r="O520" i="2"/>
  <c r="O9" i="2"/>
  <c r="O11" i="2" s="1"/>
  <c r="K452" i="2"/>
  <c r="V419" i="2"/>
  <c r="X605" i="2"/>
  <c r="R525" i="2"/>
  <c r="N520" i="2"/>
  <c r="L520" i="2"/>
  <c r="V397" i="2"/>
  <c r="V433" i="2"/>
  <c r="P575" i="2"/>
  <c r="X575" i="2" s="1"/>
  <c r="X574" i="2"/>
  <c r="T494" i="2"/>
  <c r="R388" i="2"/>
  <c r="Q353" i="2"/>
  <c r="P424" i="2"/>
  <c r="X432" i="2"/>
  <c r="T432" i="2"/>
  <c r="R432" i="2"/>
  <c r="X397" i="2"/>
  <c r="T341" i="2"/>
  <c r="R341" i="2"/>
  <c r="T270" i="2"/>
  <c r="Z353" i="2"/>
  <c r="P307" i="2"/>
  <c r="T222" i="2"/>
  <c r="P223" i="2"/>
  <c r="V222" i="2"/>
  <c r="R260" i="2"/>
  <c r="P229" i="2"/>
  <c r="X228" i="2"/>
  <c r="X128" i="2"/>
  <c r="R128" i="2"/>
  <c r="R285" i="2"/>
  <c r="V252" i="2"/>
  <c r="Y408" i="2"/>
  <c r="Y388" i="2"/>
  <c r="P105" i="2"/>
  <c r="T105" i="2" s="1"/>
  <c r="X104" i="2"/>
  <c r="X223" i="2"/>
  <c r="W215" i="2"/>
  <c r="N360" i="2"/>
  <c r="N352" i="2"/>
  <c r="N354" i="2" s="1"/>
  <c r="R241" i="2"/>
  <c r="X165" i="2"/>
  <c r="X137" i="2"/>
  <c r="V52" i="2"/>
  <c r="T52" i="2"/>
  <c r="R52" i="2"/>
  <c r="X52" i="2"/>
  <c r="T252" i="2"/>
  <c r="V74" i="2"/>
  <c r="X111" i="2"/>
  <c r="V111" i="2"/>
  <c r="T111" i="2"/>
  <c r="R111" i="2"/>
  <c r="N32" i="2"/>
  <c r="N22" i="2"/>
  <c r="X43" i="2"/>
  <c r="R56" i="2"/>
  <c r="J17" i="1"/>
  <c r="J21" i="1" s="1"/>
  <c r="J7" i="1"/>
  <c r="V64" i="2"/>
  <c r="U6" i="2"/>
  <c r="M4" i="2"/>
  <c r="M15" i="2" s="1"/>
  <c r="Z129" i="2"/>
  <c r="O51" i="1"/>
  <c r="P45" i="1"/>
  <c r="W45" i="1"/>
  <c r="P425" i="2"/>
  <c r="Z459" i="2"/>
  <c r="Z477" i="2"/>
  <c r="V396" i="2"/>
  <c r="T396" i="2"/>
  <c r="R396" i="2"/>
  <c r="V489" i="2"/>
  <c r="X489" i="2"/>
  <c r="R489" i="2"/>
  <c r="T489" i="2"/>
  <c r="V394" i="2"/>
  <c r="H360" i="2"/>
  <c r="H353" i="2"/>
  <c r="H4" i="2" s="1"/>
  <c r="H15" i="2" s="1"/>
  <c r="T423" i="2"/>
  <c r="S425" i="2"/>
  <c r="T425" i="2" s="1"/>
  <c r="S454" i="2"/>
  <c r="T454" i="2" s="1"/>
  <c r="T461" i="2"/>
  <c r="X394" i="2"/>
  <c r="O389" i="2"/>
  <c r="R370" i="2"/>
  <c r="V348" i="2"/>
  <c r="J354" i="2"/>
  <c r="X216" i="2"/>
  <c r="V155" i="2"/>
  <c r="U158" i="2"/>
  <c r="O352" i="2"/>
  <c r="V260" i="2"/>
  <c r="R93" i="2"/>
  <c r="Y308" i="2"/>
  <c r="Y252" i="2" s="1"/>
  <c r="L4" i="2"/>
  <c r="L15" i="2" s="1"/>
  <c r="Y75" i="2"/>
  <c r="Y30" i="2"/>
  <c r="Y23" i="2" s="1"/>
  <c r="Z389" i="2"/>
  <c r="R425" i="2"/>
  <c r="V229" i="2"/>
  <c r="R165" i="2"/>
  <c r="X66" i="2"/>
  <c r="V66" i="2"/>
  <c r="K120" i="2"/>
  <c r="K29" i="2"/>
  <c r="Y22" i="2"/>
  <c r="Y32" i="2"/>
  <c r="P309" i="2"/>
  <c r="V309" i="2" s="1"/>
  <c r="T347" i="2"/>
  <c r="R347" i="2"/>
  <c r="M25" i="1"/>
  <c r="S38" i="1"/>
  <c r="U38" i="1"/>
  <c r="P29" i="2"/>
  <c r="S12" i="1"/>
  <c r="R16" i="1"/>
  <c r="W17" i="2"/>
  <c r="S60" i="1"/>
  <c r="S43" i="1"/>
  <c r="M3" i="2"/>
  <c r="K17" i="1"/>
  <c r="K21" i="1" s="1"/>
  <c r="K7" i="1"/>
  <c r="O25" i="2"/>
  <c r="P459" i="2"/>
  <c r="X459" i="2" s="1"/>
  <c r="P477" i="2"/>
  <c r="R477" i="2" s="1"/>
  <c r="M462" i="2"/>
  <c r="M452" i="2"/>
  <c r="M455" i="2" s="1"/>
  <c r="P188" i="2"/>
  <c r="X200" i="2"/>
  <c r="T200" i="2"/>
  <c r="R200" i="2"/>
  <c r="T75" i="2"/>
  <c r="Z22" i="2"/>
  <c r="V575" i="2"/>
  <c r="S9" i="2"/>
  <c r="V628" i="2"/>
  <c r="P629" i="2"/>
  <c r="T628" i="2"/>
  <c r="R628" i="2"/>
  <c r="X628" i="2"/>
  <c r="P622" i="2"/>
  <c r="J520" i="2"/>
  <c r="J9" i="2"/>
  <c r="J11" i="2" s="1"/>
  <c r="V591" i="2"/>
  <c r="T575" i="2"/>
  <c r="R469" i="2"/>
  <c r="Y477" i="2"/>
  <c r="Y459" i="2"/>
  <c r="S453" i="2"/>
  <c r="T460" i="2"/>
  <c r="R491" i="2"/>
  <c r="R533" i="2"/>
  <c r="T533" i="2"/>
  <c r="J360" i="2"/>
  <c r="O462" i="2"/>
  <c r="O452" i="2"/>
  <c r="O455" i="2" s="1"/>
  <c r="V358" i="2"/>
  <c r="U360" i="2"/>
  <c r="U352" i="2"/>
  <c r="I520" i="2"/>
  <c r="P359" i="2"/>
  <c r="V359" i="2" s="1"/>
  <c r="R369" i="2"/>
  <c r="X369" i="2"/>
  <c r="T369" i="2"/>
  <c r="T358" i="2"/>
  <c r="S360" i="2"/>
  <c r="S352" i="2"/>
  <c r="S3" i="2" s="1"/>
  <c r="X308" i="2"/>
  <c r="R358" i="2"/>
  <c r="Q360" i="2"/>
  <c r="Q352" i="2"/>
  <c r="Q252" i="2"/>
  <c r="R252" i="2" s="1"/>
  <c r="R273" i="2"/>
  <c r="R189" i="2"/>
  <c r="Q6" i="2"/>
  <c r="N15" i="2"/>
  <c r="T112" i="2"/>
  <c r="V112" i="2"/>
  <c r="Z360" i="2"/>
  <c r="Z352" i="2"/>
  <c r="Z354" i="2" s="1"/>
  <c r="P190" i="2"/>
  <c r="R190" i="2" s="1"/>
  <c r="V187" i="2"/>
  <c r="R86" i="2"/>
  <c r="T125" i="2"/>
  <c r="R419" i="2"/>
  <c r="T165" i="2"/>
  <c r="Z31" i="2"/>
  <c r="Z24" i="2" s="1"/>
  <c r="Z6" i="2" s="1"/>
  <c r="Z17" i="2" s="1"/>
  <c r="N262" i="2"/>
  <c r="N251" i="2"/>
  <c r="N255" i="2" s="1"/>
  <c r="V228" i="2"/>
  <c r="Y310" i="2"/>
  <c r="Z158" i="2"/>
  <c r="P31" i="2"/>
  <c r="W23" i="2"/>
  <c r="O9" i="1"/>
  <c r="Q9" i="1"/>
  <c r="U23" i="2"/>
  <c r="O32" i="2"/>
  <c r="M42" i="1"/>
  <c r="S51" i="1"/>
  <c r="Q51" i="1"/>
  <c r="Q131" i="1"/>
  <c r="O131" i="1"/>
  <c r="M14" i="1"/>
  <c r="V4" i="1"/>
  <c r="V18" i="1" s="1"/>
  <c r="V26" i="1"/>
  <c r="P259" i="2"/>
  <c r="P273" i="2"/>
  <c r="T267" i="2"/>
  <c r="X115" i="2"/>
  <c r="V115" i="2"/>
  <c r="T115" i="2"/>
  <c r="R115" i="2"/>
  <c r="P117" i="2"/>
  <c r="P30" i="2" s="1"/>
  <c r="U77" i="1"/>
  <c r="N20" i="1"/>
  <c r="Q60" i="1"/>
  <c r="M78" i="1"/>
  <c r="O75" i="1"/>
  <c r="O43" i="1"/>
  <c r="F7" i="1"/>
  <c r="U123" i="1"/>
  <c r="S131" i="1"/>
  <c r="S15" i="2" l="1"/>
  <c r="T563" i="2"/>
  <c r="X563" i="2"/>
  <c r="V563" i="2"/>
  <c r="R563" i="2"/>
  <c r="P23" i="2"/>
  <c r="X23" i="2" s="1"/>
  <c r="T30" i="2"/>
  <c r="R30" i="2"/>
  <c r="X30" i="2"/>
  <c r="V30" i="2"/>
  <c r="S14" i="2"/>
  <c r="T188" i="2"/>
  <c r="V188" i="2"/>
  <c r="X188" i="2"/>
  <c r="R188" i="2"/>
  <c r="O354" i="2"/>
  <c r="O3" i="2"/>
  <c r="L25" i="2"/>
  <c r="L3" i="2"/>
  <c r="X389" i="2"/>
  <c r="S455" i="2"/>
  <c r="U11" i="1"/>
  <c r="S11" i="1"/>
  <c r="W4" i="2"/>
  <c r="W25" i="2"/>
  <c r="P623" i="2"/>
  <c r="T622" i="2"/>
  <c r="X622" i="2"/>
  <c r="P12" i="2"/>
  <c r="V622" i="2"/>
  <c r="R622" i="2"/>
  <c r="O15" i="2"/>
  <c r="Q455" i="2"/>
  <c r="X242" i="2"/>
  <c r="Y452" i="2"/>
  <c r="Y455" i="2" s="1"/>
  <c r="Y462" i="2"/>
  <c r="Z32" i="2"/>
  <c r="R424" i="2"/>
  <c r="T424" i="2"/>
  <c r="T477" i="2"/>
  <c r="R508" i="2"/>
  <c r="T508" i="2"/>
  <c r="X508" i="2"/>
  <c r="R67" i="2"/>
  <c r="P21" i="1"/>
  <c r="I22" i="2"/>
  <c r="I32" i="2"/>
  <c r="T242" i="2"/>
  <c r="Q16" i="2"/>
  <c r="V251" i="2"/>
  <c r="U255" i="2"/>
  <c r="R462" i="2"/>
  <c r="Q11" i="1"/>
  <c r="Q255" i="2"/>
  <c r="T174" i="2"/>
  <c r="U78" i="1"/>
  <c r="S78" i="1"/>
  <c r="P32" i="2"/>
  <c r="T29" i="2"/>
  <c r="P22" i="2"/>
  <c r="R29" i="2"/>
  <c r="V29" i="2"/>
  <c r="X29" i="2"/>
  <c r="J7" i="2"/>
  <c r="J14" i="2"/>
  <c r="V129" i="2"/>
  <c r="X129" i="2"/>
  <c r="R129" i="2"/>
  <c r="U455" i="2"/>
  <c r="V452" i="2"/>
  <c r="M14" i="2"/>
  <c r="M18" i="2" s="1"/>
  <c r="M7" i="2"/>
  <c r="T21" i="1"/>
  <c r="W17" i="1"/>
  <c r="W21" i="1" s="1"/>
  <c r="W7" i="1"/>
  <c r="P262" i="2"/>
  <c r="P251" i="2"/>
  <c r="X259" i="2"/>
  <c r="R259" i="2"/>
  <c r="T259" i="2"/>
  <c r="V259" i="2"/>
  <c r="P24" i="2"/>
  <c r="R31" i="2"/>
  <c r="X31" i="2"/>
  <c r="T31" i="2"/>
  <c r="V31" i="2"/>
  <c r="Q354" i="2"/>
  <c r="Z25" i="2"/>
  <c r="Z3" i="2"/>
  <c r="Q25" i="1"/>
  <c r="M4" i="1"/>
  <c r="M26" i="1"/>
  <c r="S25" i="1"/>
  <c r="O25" i="1"/>
  <c r="U25" i="1"/>
  <c r="J144" i="1"/>
  <c r="R353" i="2"/>
  <c r="K462" i="2"/>
  <c r="W455" i="2"/>
  <c r="O78" i="1"/>
  <c r="J13" i="2"/>
  <c r="J16" i="2"/>
  <c r="X550" i="2"/>
  <c r="R550" i="2"/>
  <c r="T67" i="2"/>
  <c r="V214" i="2"/>
  <c r="R214" i="2"/>
  <c r="X214" i="2"/>
  <c r="T604" i="2"/>
  <c r="R604" i="2"/>
  <c r="X604" i="2"/>
  <c r="V604" i="2"/>
  <c r="X425" i="2"/>
  <c r="Q25" i="2"/>
  <c r="Q4" i="2"/>
  <c r="Q7" i="2" s="1"/>
  <c r="X317" i="2"/>
  <c r="V317" i="2"/>
  <c r="T317" i="2"/>
  <c r="R317" i="2"/>
  <c r="J15" i="2"/>
  <c r="S6" i="2"/>
  <c r="L6" i="2"/>
  <c r="L17" i="2" s="1"/>
  <c r="X190" i="2"/>
  <c r="T190" i="2"/>
  <c r="T156" i="2"/>
  <c r="V156" i="2"/>
  <c r="R156" i="2"/>
  <c r="X252" i="2"/>
  <c r="W255" i="2"/>
  <c r="G354" i="2"/>
  <c r="G3" i="2"/>
  <c r="V67" i="2"/>
  <c r="K22" i="2"/>
  <c r="K32" i="2"/>
  <c r="P310" i="2"/>
  <c r="V310" i="2" s="1"/>
  <c r="T307" i="2"/>
  <c r="X307" i="2"/>
  <c r="R307" i="2"/>
  <c r="V534" i="2"/>
  <c r="R534" i="2"/>
  <c r="T534" i="2"/>
  <c r="X534" i="2"/>
  <c r="O44" i="1"/>
  <c r="M6" i="1"/>
  <c r="S44" i="1"/>
  <c r="U44" i="1"/>
  <c r="T93" i="2"/>
  <c r="X93" i="2"/>
  <c r="R605" i="2"/>
  <c r="T605" i="2"/>
  <c r="X273" i="2"/>
  <c r="V273" i="2"/>
  <c r="T273" i="2"/>
  <c r="V117" i="2"/>
  <c r="X117" i="2"/>
  <c r="R117" i="2"/>
  <c r="T117" i="2"/>
  <c r="R360" i="2"/>
  <c r="V174" i="2"/>
  <c r="X105" i="2"/>
  <c r="V105" i="2"/>
  <c r="R105" i="2"/>
  <c r="R229" i="2"/>
  <c r="T229" i="2"/>
  <c r="X229" i="2"/>
  <c r="R575" i="2"/>
  <c r="K455" i="2"/>
  <c r="V190" i="2"/>
  <c r="T261" i="2"/>
  <c r="P253" i="2"/>
  <c r="V261" i="2"/>
  <c r="R261" i="2"/>
  <c r="R242" i="2"/>
  <c r="V307" i="2"/>
  <c r="T397" i="2"/>
  <c r="R397" i="2"/>
  <c r="X424" i="2"/>
  <c r="P20" i="1"/>
  <c r="Q6" i="1"/>
  <c r="R32" i="2"/>
  <c r="T308" i="2"/>
  <c r="V308" i="2"/>
  <c r="X477" i="2"/>
  <c r="T214" i="2"/>
  <c r="R8" i="2"/>
  <c r="X8" i="2"/>
  <c r="T8" i="2"/>
  <c r="V8" i="2"/>
  <c r="Q14" i="1"/>
  <c r="M16" i="1"/>
  <c r="O14" i="1"/>
  <c r="U14" i="1"/>
  <c r="M19" i="1"/>
  <c r="P254" i="2"/>
  <c r="T309" i="2"/>
  <c r="R309" i="2"/>
  <c r="X309" i="2"/>
  <c r="Y3" i="2"/>
  <c r="Y25" i="2"/>
  <c r="U17" i="2"/>
  <c r="X562" i="2"/>
  <c r="T562" i="2"/>
  <c r="V562" i="2"/>
  <c r="R562" i="2"/>
  <c r="X57" i="2"/>
  <c r="T57" i="2"/>
  <c r="V57" i="2"/>
  <c r="Z462" i="2"/>
  <c r="Z452" i="2"/>
  <c r="Z455" i="2" s="1"/>
  <c r="W217" i="2"/>
  <c r="P518" i="2"/>
  <c r="Q14" i="2"/>
  <c r="O11" i="1"/>
  <c r="M3" i="1"/>
  <c r="O42" i="1"/>
  <c r="M45" i="1"/>
  <c r="S42" i="1"/>
  <c r="Q42" i="1"/>
  <c r="U42" i="1"/>
  <c r="V23" i="2"/>
  <c r="U4" i="2"/>
  <c r="P120" i="2"/>
  <c r="P353" i="2"/>
  <c r="T353" i="2" s="1"/>
  <c r="T359" i="2"/>
  <c r="R359" i="2"/>
  <c r="X359" i="2"/>
  <c r="V629" i="2"/>
  <c r="X629" i="2"/>
  <c r="R629" i="2"/>
  <c r="T629" i="2"/>
  <c r="P452" i="2"/>
  <c r="R459" i="2"/>
  <c r="P462" i="2"/>
  <c r="X462" i="2" s="1"/>
  <c r="Y353" i="2"/>
  <c r="Y354" i="2" s="1"/>
  <c r="Y389" i="2"/>
  <c r="V605" i="2"/>
  <c r="S14" i="1"/>
  <c r="H354" i="2"/>
  <c r="X358" i="2"/>
  <c r="P352" i="2"/>
  <c r="P354" i="2" s="1"/>
  <c r="P360" i="2"/>
  <c r="X360" i="2" s="1"/>
  <c r="X156" i="2"/>
  <c r="X253" i="2"/>
  <c r="W5" i="2"/>
  <c r="P389" i="2"/>
  <c r="V389" i="2" s="1"/>
  <c r="T387" i="2"/>
  <c r="V3" i="1"/>
  <c r="V78" i="1"/>
  <c r="T129" i="2"/>
  <c r="P453" i="2"/>
  <c r="V453" i="2" s="1"/>
  <c r="V460" i="2"/>
  <c r="N21" i="1"/>
  <c r="H3" i="2"/>
  <c r="Y6" i="2"/>
  <c r="Y17" i="2" s="1"/>
  <c r="S16" i="1"/>
  <c r="S19" i="1"/>
  <c r="R21" i="1"/>
  <c r="X370" i="2"/>
  <c r="V370" i="2"/>
  <c r="T370" i="2"/>
  <c r="Q78" i="1"/>
  <c r="U76" i="1"/>
  <c r="S76" i="1"/>
  <c r="O76" i="1"/>
  <c r="Q76" i="1"/>
  <c r="U11" i="2"/>
  <c r="Z13" i="2"/>
  <c r="Z16" i="2"/>
  <c r="Q17" i="2"/>
  <c r="S354" i="2"/>
  <c r="T354" i="2" s="1"/>
  <c r="T352" i="2"/>
  <c r="U354" i="2"/>
  <c r="V354" i="2" s="1"/>
  <c r="V352" i="2"/>
  <c r="S11" i="2"/>
  <c r="N25" i="2"/>
  <c r="N3" i="2"/>
  <c r="P215" i="2"/>
  <c r="X215" i="2" s="1"/>
  <c r="R223" i="2"/>
  <c r="T223" i="2"/>
  <c r="V223" i="2"/>
  <c r="V614" i="2"/>
  <c r="R614" i="2"/>
  <c r="T614" i="2"/>
  <c r="X614" i="2"/>
  <c r="X174" i="2"/>
  <c r="X352" i="2"/>
  <c r="W354" i="2"/>
  <c r="X354" i="2" s="1"/>
  <c r="W3" i="2"/>
  <c r="T462" i="2"/>
  <c r="V294" i="2"/>
  <c r="R294" i="2"/>
  <c r="T294" i="2"/>
  <c r="X294" i="2"/>
  <c r="P158" i="2"/>
  <c r="R158" i="2" s="1"/>
  <c r="X155" i="2"/>
  <c r="R155" i="2"/>
  <c r="U3" i="2"/>
  <c r="R75" i="2"/>
  <c r="X75" i="2"/>
  <c r="V75" i="2"/>
  <c r="X262" i="2"/>
  <c r="T550" i="2"/>
  <c r="T158" i="2"/>
  <c r="Z7" i="2" l="1"/>
  <c r="Z14" i="2"/>
  <c r="Z18" i="2" s="1"/>
  <c r="P6" i="2"/>
  <c r="X24" i="2"/>
  <c r="V24" i="2"/>
  <c r="R24" i="2"/>
  <c r="T24" i="2"/>
  <c r="T623" i="2"/>
  <c r="X623" i="2"/>
  <c r="R623" i="2"/>
  <c r="V623" i="2"/>
  <c r="N14" i="2"/>
  <c r="N18" i="2" s="1"/>
  <c r="K144" i="1" s="1"/>
  <c r="N7" i="2"/>
  <c r="K25" i="2"/>
  <c r="K3" i="2"/>
  <c r="R25" i="2"/>
  <c r="X353" i="2"/>
  <c r="P25" i="2"/>
  <c r="P3" i="2"/>
  <c r="R22" i="2"/>
  <c r="T22" i="2"/>
  <c r="X22" i="2"/>
  <c r="V22" i="2"/>
  <c r="R389" i="2"/>
  <c r="R453" i="2"/>
  <c r="X25" i="2"/>
  <c r="L7" i="2"/>
  <c r="L14" i="2"/>
  <c r="L18" i="2" s="1"/>
  <c r="I144" i="1" s="1"/>
  <c r="Q15" i="2"/>
  <c r="W144" i="1"/>
  <c r="V7" i="1"/>
  <c r="V17" i="1"/>
  <c r="V21" i="1" s="1"/>
  <c r="P9" i="2"/>
  <c r="R518" i="2"/>
  <c r="X518" i="2"/>
  <c r="V518" i="2"/>
  <c r="T518" i="2"/>
  <c r="P520" i="2"/>
  <c r="T254" i="2"/>
  <c r="X254" i="2"/>
  <c r="R254" i="2"/>
  <c r="X158" i="2"/>
  <c r="S17" i="2"/>
  <c r="T6" i="2"/>
  <c r="R23" i="2"/>
  <c r="R352" i="2"/>
  <c r="V462" i="2"/>
  <c r="V353" i="2"/>
  <c r="Y4" i="2"/>
  <c r="Y15" i="2" s="1"/>
  <c r="W15" i="2"/>
  <c r="U14" i="2"/>
  <c r="V3" i="2"/>
  <c r="U7" i="2"/>
  <c r="O45" i="1"/>
  <c r="U45" i="1"/>
  <c r="S45" i="1"/>
  <c r="Q19" i="1"/>
  <c r="O19" i="1"/>
  <c r="U19" i="1"/>
  <c r="G14" i="2"/>
  <c r="G18" i="2" s="1"/>
  <c r="D144" i="1" s="1"/>
  <c r="G7" i="2"/>
  <c r="T389" i="2"/>
  <c r="R354" i="2"/>
  <c r="V158" i="2"/>
  <c r="T32" i="2"/>
  <c r="V32" i="2"/>
  <c r="X32" i="2"/>
  <c r="O14" i="2"/>
  <c r="O18" i="2" s="1"/>
  <c r="L144" i="1" s="1"/>
  <c r="O7" i="2"/>
  <c r="S7" i="2"/>
  <c r="T453" i="2"/>
  <c r="P5" i="2"/>
  <c r="V253" i="2"/>
  <c r="T253" i="2"/>
  <c r="R253" i="2"/>
  <c r="H14" i="2"/>
  <c r="H18" i="2" s="1"/>
  <c r="E144" i="1" s="1"/>
  <c r="H7" i="2"/>
  <c r="R452" i="2"/>
  <c r="P455" i="2"/>
  <c r="T455" i="2" s="1"/>
  <c r="J18" i="2"/>
  <c r="G144" i="1" s="1"/>
  <c r="V360" i="2"/>
  <c r="X310" i="2"/>
  <c r="T310" i="2"/>
  <c r="R310" i="2"/>
  <c r="R215" i="2"/>
  <c r="T215" i="2"/>
  <c r="V215" i="2"/>
  <c r="W14" i="2"/>
  <c r="X3" i="2"/>
  <c r="W7" i="2"/>
  <c r="X453" i="2"/>
  <c r="R120" i="2"/>
  <c r="V120" i="2"/>
  <c r="T120" i="2"/>
  <c r="X120" i="2"/>
  <c r="M7" i="1"/>
  <c r="M17" i="1"/>
  <c r="O3" i="1"/>
  <c r="U3" i="1"/>
  <c r="S3" i="1"/>
  <c r="Q3" i="1"/>
  <c r="Y7" i="2"/>
  <c r="Y14" i="2"/>
  <c r="Y18" i="2" s="1"/>
  <c r="P217" i="2"/>
  <c r="X217" i="2" s="1"/>
  <c r="X452" i="2"/>
  <c r="U26" i="1"/>
  <c r="Q26" i="1"/>
  <c r="S26" i="1"/>
  <c r="O26" i="1"/>
  <c r="P255" i="2"/>
  <c r="T255" i="2" s="1"/>
  <c r="X251" i="2"/>
  <c r="R251" i="2"/>
  <c r="T251" i="2"/>
  <c r="P13" i="2"/>
  <c r="R12" i="2"/>
  <c r="V12" i="2"/>
  <c r="T12" i="2"/>
  <c r="X12" i="2"/>
  <c r="P4" i="2"/>
  <c r="R4" i="2" s="1"/>
  <c r="T23" i="2"/>
  <c r="W16" i="2"/>
  <c r="X5" i="2"/>
  <c r="V4" i="2"/>
  <c r="U15" i="2"/>
  <c r="T360" i="2"/>
  <c r="Q16" i="1"/>
  <c r="U16" i="1"/>
  <c r="O16" i="1"/>
  <c r="Q45" i="1"/>
  <c r="M20" i="1"/>
  <c r="O6" i="1"/>
  <c r="S6" i="1"/>
  <c r="U6" i="1"/>
  <c r="X455" i="2"/>
  <c r="M18" i="1"/>
  <c r="Q4" i="1"/>
  <c r="O4" i="1"/>
  <c r="S4" i="1"/>
  <c r="U4" i="1"/>
  <c r="V262" i="2"/>
  <c r="T262" i="2"/>
  <c r="R262" i="2"/>
  <c r="V254" i="2"/>
  <c r="I3" i="2"/>
  <c r="I25" i="2"/>
  <c r="T452" i="2"/>
  <c r="R520" i="2" l="1"/>
  <c r="X520" i="2"/>
  <c r="V520" i="2"/>
  <c r="T520" i="2"/>
  <c r="X4" i="2"/>
  <c r="V255" i="2"/>
  <c r="P17" i="2"/>
  <c r="X6" i="2"/>
  <c r="V6" i="2"/>
  <c r="R6" i="2"/>
  <c r="S20" i="1"/>
  <c r="U20" i="1"/>
  <c r="O20" i="1"/>
  <c r="X14" i="2"/>
  <c r="W18" i="2"/>
  <c r="Q20" i="1"/>
  <c r="P16" i="2"/>
  <c r="X16" i="2" s="1"/>
  <c r="T5" i="2"/>
  <c r="V5" i="2"/>
  <c r="R5" i="2"/>
  <c r="U18" i="2"/>
  <c r="R255" i="2"/>
  <c r="X13" i="2"/>
  <c r="V13" i="2"/>
  <c r="T13" i="2"/>
  <c r="R13" i="2"/>
  <c r="R455" i="2"/>
  <c r="K7" i="2"/>
  <c r="K14" i="2"/>
  <c r="K18" i="2" s="1"/>
  <c r="H144" i="1" s="1"/>
  <c r="V455" i="2"/>
  <c r="P15" i="2"/>
  <c r="T15" i="2" s="1"/>
  <c r="T4" i="2"/>
  <c r="Q18" i="2"/>
  <c r="R9" i="2"/>
  <c r="X9" i="2"/>
  <c r="V9" i="2"/>
  <c r="P11" i="2"/>
  <c r="T9" i="2"/>
  <c r="I7" i="2"/>
  <c r="I14" i="2"/>
  <c r="I18" i="2" s="1"/>
  <c r="F144" i="1" s="1"/>
  <c r="R217" i="2"/>
  <c r="V217" i="2"/>
  <c r="T217" i="2"/>
  <c r="V144" i="1"/>
  <c r="P14" i="2"/>
  <c r="V14" i="2" s="1"/>
  <c r="P7" i="2"/>
  <c r="R7" i="2" s="1"/>
  <c r="R3" i="2"/>
  <c r="T3" i="2"/>
  <c r="Q18" i="1"/>
  <c r="U18" i="1"/>
  <c r="S18" i="1"/>
  <c r="O18" i="1"/>
  <c r="M21" i="1"/>
  <c r="U17" i="1"/>
  <c r="O17" i="1"/>
  <c r="Q17" i="1"/>
  <c r="S17" i="1"/>
  <c r="X255" i="2"/>
  <c r="O7" i="1"/>
  <c r="U7" i="1"/>
  <c r="S7" i="1"/>
  <c r="Q7" i="1"/>
  <c r="S18" i="2"/>
  <c r="V25" i="2"/>
  <c r="T25" i="2"/>
  <c r="X18" i="2" l="1"/>
  <c r="T144" i="1"/>
  <c r="X17" i="2"/>
  <c r="V17" i="2"/>
  <c r="R17" i="2"/>
  <c r="M144" i="1"/>
  <c r="Q21" i="1"/>
  <c r="S21" i="1"/>
  <c r="O21" i="1"/>
  <c r="U21" i="1"/>
  <c r="V7" i="2"/>
  <c r="X11" i="2"/>
  <c r="R11" i="2"/>
  <c r="V11" i="2"/>
  <c r="T11" i="2"/>
  <c r="X7" i="2"/>
  <c r="V16" i="2"/>
  <c r="T16" i="2"/>
  <c r="R16" i="2"/>
  <c r="R15" i="2"/>
  <c r="R144" i="1"/>
  <c r="S144" i="1" s="1"/>
  <c r="V15" i="2"/>
  <c r="R18" i="2"/>
  <c r="N144" i="1"/>
  <c r="O144" i="1" s="1"/>
  <c r="T17" i="2"/>
  <c r="P144" i="1"/>
  <c r="P18" i="2"/>
  <c r="V18" i="2" s="1"/>
  <c r="R14" i="2"/>
  <c r="T14" i="2"/>
  <c r="T7" i="2"/>
  <c r="X15" i="2"/>
  <c r="Q144" i="1" l="1"/>
  <c r="T18" i="2"/>
  <c r="U1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 Tabaček</author>
  </authors>
  <commentList>
    <comment ref="K81" authorId="0" shapeId="0" xr:uid="{00000000-0006-0000-0100-000001000000}">
      <text>
        <r>
          <rPr>
            <sz val="9"/>
            <rFont val="Arial"/>
            <family val="2"/>
            <charset val="238"/>
          </rPr>
          <t>KD VO, žiadosti o NFP</t>
        </r>
      </text>
    </comment>
  </commentList>
</comments>
</file>

<file path=xl/sharedStrings.xml><?xml version="1.0" encoding="utf-8"?>
<sst xmlns="http://schemas.openxmlformats.org/spreadsheetml/2006/main" count="2367" uniqueCount="386">
  <si>
    <t>SUMÁR PRÍJMOV</t>
  </si>
  <si>
    <t>2022 S</t>
  </si>
  <si>
    <t>2023 S</t>
  </si>
  <si>
    <t>2024 R</t>
  </si>
  <si>
    <t>2024 OS</t>
  </si>
  <si>
    <t>2025 R</t>
  </si>
  <si>
    <t>U1</t>
  </si>
  <si>
    <t>U2</t>
  </si>
  <si>
    <t>U3</t>
  </si>
  <si>
    <t>U4</t>
  </si>
  <si>
    <t>2025 U</t>
  </si>
  <si>
    <t>Č1</t>
  </si>
  <si>
    <t>P1</t>
  </si>
  <si>
    <t>Č2</t>
  </si>
  <si>
    <t>P2</t>
  </si>
  <si>
    <t>Č3</t>
  </si>
  <si>
    <t>P3</t>
  </si>
  <si>
    <t>Č4</t>
  </si>
  <si>
    <t>P4</t>
  </si>
  <si>
    <t>2026 R</t>
  </si>
  <si>
    <t>2027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</si>
  <si>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</si>
  <si>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</si>
  <si>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</si>
  <si>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</si>
  <si>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</si>
  <si>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</si>
  <si>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</si>
  <si>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</si>
  <si>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</si>
  <si>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</si>
  <si>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</si>
  <si>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</si>
  <si>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</si>
  <si>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</si>
  <si>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</si>
  <si>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</si>
  <si>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</si>
  <si>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</si>
  <si>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</si>
  <si>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</si>
  <si>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</si>
  <si>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</si>
  <si>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</si>
  <si>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</si>
  <si>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</si>
  <si>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</si>
  <si>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</si>
  <si>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Iné nedaňové príjmy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</si>
  <si>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</si>
  <si>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</si>
  <si>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</si>
  <si>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</si>
  <si>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</si>
  <si>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</si>
  <si>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</si>
  <si>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</si>
  <si>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</si>
  <si>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</si>
  <si>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</si>
  <si>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</si>
  <si>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</si>
  <si>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</si>
  <si>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</si>
  <si>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</si>
  <si>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</si>
  <si>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</si>
  <si>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</si>
  <si>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GaT</t>
  </si>
  <si>
    <t>ZŠ granty (RO)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</si>
  <si>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</si>
  <si>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</si>
  <si>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</si>
  <si>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</si>
  <si>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</si>
  <si>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</si>
  <si>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</si>
  <si>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ZŠ podpora UA</t>
  </si>
  <si>
    <t>ZŠ pojekt NIVAM ESF</t>
  </si>
  <si>
    <t>MŠ predškoláci</t>
  </si>
  <si>
    <t>MŠ normatív</t>
  </si>
  <si>
    <t>MŠ nenormatívne</t>
  </si>
  <si>
    <t>Prídavky na deti</t>
  </si>
  <si>
    <t>Voľby</t>
  </si>
  <si>
    <t>DOS</t>
  </si>
  <si>
    <t>Regionálny rozvoj ESF</t>
  </si>
  <si>
    <t>Energodotácie</t>
  </si>
  <si>
    <t>Ubytovanie utečenci</t>
  </si>
  <si>
    <t>Migračné výzvy</t>
  </si>
  <si>
    <t>Krytie inflácie/Výpadok DP</t>
  </si>
  <si>
    <t>Defibrilátor – náplne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</si>
  <si>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</si>
  <si>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</si>
  <si>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</si>
  <si>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</si>
  <si>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</si>
  <si>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</si>
  <si>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</si>
  <si>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</si>
  <si>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</si>
  <si>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ZŠ debarierizácia</t>
  </si>
  <si>
    <t>ZŠ REO Nesluša (rýchle energetické opatrenia – telocvičňa)</t>
  </si>
  <si>
    <t>MŠ fotovoltika</t>
  </si>
  <si>
    <t>Nákup malotraktora v obci Nesluša</t>
  </si>
  <si>
    <t>Triedený zber Dolných Kysúc</t>
  </si>
  <si>
    <t>Vodozádržné obecný úrad</t>
  </si>
  <si>
    <t>Stacionárne zariadenie</t>
  </si>
  <si>
    <t>Zdroj kytia</t>
  </si>
  <si>
    <t>Granty</t>
  </si>
  <si>
    <t>Granty (RO)</t>
  </si>
  <si>
    <t>PRÍJMOVÉ FINANČNÉ OPERÁCIE</t>
  </si>
  <si>
    <t>Nevyčerpané dotácie</t>
  </si>
  <si>
    <t>Zostatky zábezpeky</t>
  </si>
  <si>
    <t>Zostatky vlastné zdroje</t>
  </si>
  <si>
    <t>Zostatky ostatné príjmy</t>
  </si>
  <si>
    <t>Rezervný fond</t>
  </si>
  <si>
    <t>Prijaté zábezpeky</t>
  </si>
  <si>
    <t>ROZDIEL PRÍJMOV A VÝDAJOV</t>
  </si>
  <si>
    <t>Rezervný fond (nezapojený)</t>
  </si>
  <si>
    <t>Pr</t>
  </si>
  <si>
    <t>Po</t>
  </si>
  <si>
    <t>Pv</t>
  </si>
  <si>
    <t>SUMÁR VÝDAVKOV</t>
  </si>
  <si>
    <t>2024 U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</si>
  <si>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</si>
  <si>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</si>
  <si>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</si>
  <si>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</si>
  <si>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</si>
  <si>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</si>
  <si>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</si>
  <si>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</si>
  <si>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</si>
  <si>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</si>
  <si>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</si>
  <si>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</si>
  <si>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</si>
  <si>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</si>
  <si>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</si>
  <si>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</si>
  <si>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</si>
  <si>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</si>
  <si>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</si>
  <si>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</si>
  <si>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ESMAO/DCOM</t>
  </si>
  <si>
    <t>Žiadosti o dotácie/obstáravanie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</si>
  <si>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</si>
  <si>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</si>
  <si>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</si>
  <si>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</si>
  <si>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</si>
  <si>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</si>
  <si>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</si>
  <si>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</si>
  <si>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</si>
  <si>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</si>
  <si>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</si>
  <si>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</si>
  <si>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</si>
  <si>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</si>
  <si>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</si>
  <si>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</si>
  <si>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</si>
  <si>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</si>
  <si>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</si>
  <si>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Geometrické plány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</si>
  <si>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</si>
  <si>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</si>
  <si>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</si>
  <si>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</si>
  <si>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</si>
  <si>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</si>
  <si>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09.1.x</t>
  </si>
  <si>
    <t>111/AC/PO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</si>
  <si>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</si>
  <si>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</si>
  <si>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</si>
  <si>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</si>
  <si>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</si>
  <si>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</si>
  <si>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</si>
  <si>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</si>
  <si>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Oprava zelenej strechy MŠ</t>
  </si>
  <si>
    <t>Externý manažment projekty EÚ</t>
  </si>
  <si>
    <t>Nevyčerpaná dotácia zateplenie ZŠ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</si>
  <si>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</si>
  <si>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</si>
  <si>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</si>
  <si>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</si>
  <si>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</si>
  <si>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</si>
  <si>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</si>
  <si>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Žiadosť o dotáciu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</si>
  <si>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</si>
  <si>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</si>
  <si>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</si>
  <si>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</si>
  <si>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</si>
  <si>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</si>
  <si>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</si>
  <si>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</si>
  <si>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</si>
  <si>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</si>
  <si>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</si>
  <si>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</si>
  <si>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</si>
  <si>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</si>
  <si>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</si>
  <si>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</si>
  <si>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</si>
  <si>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</si>
  <si>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</si>
  <si>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</si>
  <si>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</si>
  <si>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</si>
  <si>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</si>
  <si>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</si>
  <si>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</si>
  <si>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</si>
  <si>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</si>
  <si>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</si>
  <si>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</si>
  <si>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</si>
  <si>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Verejné obstarávanie regulácia</t>
  </si>
  <si>
    <t>Vratka dotácie vodozádržné OcÚ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</si>
  <si>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</si>
  <si>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</si>
  <si>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</si>
  <si>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</si>
  <si>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</si>
  <si>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</si>
  <si>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</si>
  <si>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Dohoda správca</t>
  </si>
  <si>
    <t>Prvok 6.1.2 Ostatné športové kluby</t>
  </si>
  <si>
    <t>Šachový klub</t>
  </si>
  <si>
    <t>Športovec roka</t>
  </si>
  <si>
    <t>OZ Bajk Relax Kysuce</t>
  </si>
  <si>
    <t>Podprogram 6.2 Kultúra</t>
  </si>
  <si>
    <t>Prvok 6.2.1 Kultúrny dom</t>
  </si>
  <si>
    <t>08.2.0</t>
  </si>
  <si>
    <t>Prvok 6.2.2 Kultúrne akcie</t>
  </si>
  <si>
    <t>Rocknes</t>
  </si>
  <si>
    <t>Osobnosť Kysúc, Letné kino, Kysucká knižnica</t>
  </si>
  <si>
    <t>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</si>
  <si>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</si>
  <si>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</si>
  <si>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</si>
  <si>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</si>
  <si>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</si>
  <si>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</si>
  <si>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</si>
  <si>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</si>
  <si>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</si>
  <si>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Priatelia Kysúc</t>
  </si>
  <si>
    <t>Jednota dôchodcov</t>
  </si>
  <si>
    <t>SZ sklerózy multiplex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</si>
  <si>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</si>
  <si>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</si>
  <si>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</si>
  <si>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</si>
  <si>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</si>
  <si>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</si>
  <si>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</t>
  </si>
  <si>
    <t>Prvok 7.1.2 Denný stacionár</t>
  </si>
  <si>
    <t>Jubilanti/deň úcty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</si>
  <si>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</si>
  <si>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</si>
  <si>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</si>
  <si>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</si>
  <si>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</si>
  <si>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</si>
  <si>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</si>
  <si>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</si>
  <si>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</si>
  <si>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</si>
  <si>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Podprogram 8.2 Školstvo</t>
  </si>
  <si>
    <t>09.x-710</t>
  </si>
  <si>
    <t>MŠ – fotovoltika</t>
  </si>
  <si>
    <t>ZŠ – vodozádržné opatrenia</t>
  </si>
  <si>
    <t>ZŠ – rekonštrukcia kotolne</t>
  </si>
  <si>
    <t>ZŠ – strecha CVČ</t>
  </si>
  <si>
    <t>ZŠ – vstupná rampa</t>
  </si>
  <si>
    <t>ZŠ – debarierizácia</t>
  </si>
  <si>
    <t>ZŠ – tréningové ihrisko</t>
  </si>
  <si>
    <t>ZŠ – zateplenie školy</t>
  </si>
  <si>
    <t>ZŠ – zníženie energetickej náročnosti telocvične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</si>
  <si>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</si>
  <si>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</si>
  <si>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</si>
  <si>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</si>
  <si>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</si>
  <si>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</si>
  <si>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</si>
  <si>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8.4 Odpadové hospodárstvo</t>
  </si>
  <si>
    <t>05.1.0-710</t>
  </si>
  <si>
    <t>BRKO – malotraktor – spolufinancovanie</t>
  </si>
  <si>
    <t>BRKO – auto na kompost, kontajnery</t>
  </si>
  <si>
    <t>BRKO – odpadové nádoby</t>
  </si>
  <si>
    <t>05.2.0-710</t>
  </si>
  <si>
    <t>Kanalizácia – prepojenie Radovka/kamienková ulica</t>
  </si>
  <si>
    <t>Podprogram 8.5 Prostredie pre život</t>
  </si>
  <si>
    <t>04.5.1-710</t>
  </si>
  <si>
    <t>Asfaltovanie miestnych komunikácií</t>
  </si>
  <si>
    <t>06.2.0-710</t>
  </si>
  <si>
    <t>Regulácia potoka – projekt, obstarávanie</t>
  </si>
  <si>
    <t>Regulácia potoka – realizácia</t>
  </si>
  <si>
    <t>Vodozádržné opatrenia pri obecnom úrade</t>
  </si>
  <si>
    <t>Detské ihrisko v centre</t>
  </si>
  <si>
    <t>06.4.0-710</t>
  </si>
  <si>
    <t>Verejné osvetlenie/vianočné osvetlenie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</si>
  <si>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</si>
  <si>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</si>
  <si>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</si>
  <si>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</si>
  <si>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</si>
  <si>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</si>
  <si>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</si>
  <si>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</si>
  <si>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</si>
  <si>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</si>
  <si>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</si>
  <si>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</si>
  <si>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Podprogram 8.7 Solidarita</t>
  </si>
  <si>
    <t>3P01</t>
  </si>
  <si>
    <t>Plán obnovy</t>
  </si>
  <si>
    <t>10.2.0-710</t>
  </si>
  <si>
    <t>Oplotenie a odvodnenie pozemku</t>
  </si>
  <si>
    <t>Projekt stacionárneho zariadenia</t>
  </si>
  <si>
    <t>Ke</t>
  </si>
  <si>
    <t>Podprogram 8.8 Plánovanie</t>
  </si>
  <si>
    <t>04.4.3-710</t>
  </si>
  <si>
    <t>Dodatok k územnému plánu</t>
  </si>
  <si>
    <t>Projektová dokumentácia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</si>
  <si>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</si>
  <si>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</si>
  <si>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</si>
  <si>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</si>
  <si>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</si>
  <si>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2022</t>
  </si>
  <si>
    <t>Skutočnosť v roku 2023</t>
  </si>
  <si>
    <t>Schválený rozpočet na rok 2024</t>
  </si>
  <si>
    <t>Odhad skutočnosti na rok 2024</t>
  </si>
  <si>
    <t>Schválený rozpočet na rok 2025</t>
  </si>
  <si>
    <t>Schválený rozpočet na rok 2026</t>
  </si>
  <si>
    <t>Schválený rozpočet na rok 2027</t>
  </si>
  <si>
    <t>BRKO</t>
  </si>
  <si>
    <t>biologicky rozložiteľný komunálny odpad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</si>
  <si>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</si>
  <si>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</si>
  <si>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</si>
  <si>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</si>
  <si>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</si>
  <si>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</si>
  <si>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</si>
  <si>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</si>
  <si>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</si>
  <si>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ESMAO</t>
  </si>
  <si>
    <t>Elektronické služby miest a obcí</t>
  </si>
  <si>
    <t>funkčná klasifikácia</t>
  </si>
  <si>
    <t>granty a transfery</t>
  </si>
  <si>
    <t>MŠ</t>
  </si>
  <si>
    <t>Materská škola Nesluša</t>
  </si>
  <si>
    <t>P#</t>
  </si>
  <si>
    <t>plnenie v kvartáli # v percentách</t>
  </si>
  <si>
    <t>program</t>
  </si>
  <si>
    <t>daňové príjmy</t>
  </si>
  <si>
    <t>nedaňové príjmy</t>
  </si>
  <si>
    <t>podprogram</t>
  </si>
  <si>
    <t>prvok</t>
  </si>
  <si>
    <t>REO</t>
  </si>
  <si>
    <t>rýchle energetické opatrenia</t>
  </si>
  <si>
    <t>účtované v účtovníctve rozpočtovej organizácie Základná škola Nesluša</t>
  </si>
  <si>
    <t>Spojená organizácia Slovenského zväzu telesne postihnutých a Zväzu postihnutých</t>
  </si>
  <si>
    <t>civilizačnými chorobami</t>
  </si>
  <si>
    <t>SZP</t>
  </si>
  <si>
    <t>sociálne znevýhodnené prostredie</t>
  </si>
  <si>
    <t>ŠJ</t>
  </si>
  <si>
    <t>školská jedáleň</t>
  </si>
  <si>
    <t>U#</t>
  </si>
  <si>
    <t>úpravy v kvartáli #</t>
  </si>
  <si>
    <t>UA</t>
  </si>
  <si>
    <t>Ukrajina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</si>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</sst>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7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83">
    <xf numFmtId="0" fontId="0" fillId="0" borderId="0" xfId="0"/>
    <xf numFmtId="0" fontId="3" fillId="0" borderId="25" xfId="0" applyFont="1" applyBorder="1" applyAlignment="1">
      <alignment vertical="center"/>
    </xf>
    <xf numFmtId="14" fontId="3" fillId="0" borderId="24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5" fillId="0" borderId="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4" xfId="0" applyFont="1" applyBorder="1"/>
    <xf numFmtId="0" fontId="3" fillId="0" borderId="15" xfId="0" applyFont="1" applyBorder="1"/>
    <xf numFmtId="4" fontId="3" fillId="0" borderId="15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166" fontId="3" fillId="0" borderId="17" xfId="0" applyNumberFormat="1" applyFont="1" applyBorder="1" applyAlignment="1">
      <alignment vertical="center"/>
    </xf>
    <xf numFmtId="0" fontId="3" fillId="0" borderId="17" xfId="0" applyFont="1" applyBorder="1"/>
    <xf numFmtId="166" fontId="3" fillId="0" borderId="17" xfId="0" applyNumberFormat="1" applyFont="1" applyBorder="1"/>
    <xf numFmtId="4" fontId="3" fillId="0" borderId="2" xfId="0" applyNumberFormat="1" applyFont="1" applyBorder="1"/>
    <xf numFmtId="0" fontId="3" fillId="0" borderId="15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8" xfId="0" applyFont="1" applyBorder="1"/>
    <xf numFmtId="4" fontId="3" fillId="0" borderId="1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4" fontId="3" fillId="0" borderId="19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0" fontId="3" fillId="0" borderId="20" xfId="0" applyFont="1" applyBorder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4" fontId="3" fillId="0" borderId="22" xfId="0" applyNumberFormat="1" applyFont="1" applyBorder="1"/>
    <xf numFmtId="165" fontId="3" fillId="0" borderId="22" xfId="0" applyNumberFormat="1" applyFont="1" applyBorder="1"/>
    <xf numFmtId="165" fontId="3" fillId="0" borderId="23" xfId="0" applyNumberFormat="1" applyFont="1" applyBorder="1"/>
    <xf numFmtId="0" fontId="3" fillId="0" borderId="0" xfId="0" applyFont="1" applyBorder="1"/>
    <xf numFmtId="14" fontId="4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14" fontId="3" fillId="0" borderId="20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wrapText="1"/>
    </xf>
    <xf numFmtId="0" fontId="3" fillId="0" borderId="25" xfId="0" applyFont="1" applyBorder="1" applyAlignment="1">
      <alignment vertical="center"/>
    </xf>
    <xf numFmtId="0" fontId="3" fillId="0" borderId="6" xfId="0" applyFont="1" applyBorder="1"/>
    <xf numFmtId="0" fontId="3" fillId="0" borderId="27" xfId="0" applyFont="1" applyBorder="1"/>
    <xf numFmtId="0" fontId="3" fillId="0" borderId="28" xfId="0" applyFont="1" applyBorder="1"/>
    <xf numFmtId="4" fontId="3" fillId="0" borderId="28" xfId="0" applyNumberFormat="1" applyFont="1" applyBorder="1"/>
    <xf numFmtId="165" fontId="3" fillId="0" borderId="28" xfId="0" applyNumberFormat="1" applyFont="1" applyBorder="1"/>
    <xf numFmtId="165" fontId="3" fillId="0" borderId="29" xfId="0" applyNumberFormat="1" applyFont="1" applyBorder="1"/>
    <xf numFmtId="0" fontId="3" fillId="0" borderId="30" xfId="0" applyFont="1" applyBorder="1"/>
    <xf numFmtId="165" fontId="3" fillId="0" borderId="12" xfId="0" applyNumberFormat="1" applyFont="1" applyBorder="1"/>
    <xf numFmtId="165" fontId="3" fillId="0" borderId="31" xfId="0" applyNumberFormat="1" applyFont="1" applyBorder="1"/>
    <xf numFmtId="4" fontId="3" fillId="0" borderId="1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4" fontId="3" fillId="0" borderId="7" xfId="0" applyNumberFormat="1" applyFont="1" applyBorder="1"/>
    <xf numFmtId="4" fontId="3" fillId="0" borderId="10" xfId="0" applyNumberFormat="1" applyFont="1" applyBorder="1"/>
    <xf numFmtId="0" fontId="3" fillId="0" borderId="32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7" xfId="0" applyFont="1" applyBorder="1"/>
    <xf numFmtId="4" fontId="3" fillId="0" borderId="22" xfId="0" applyNumberFormat="1" applyFont="1" applyBorder="1"/>
    <xf numFmtId="165" fontId="3" fillId="0" borderId="22" xfId="0" applyNumberFormat="1" applyFont="1" applyBorder="1"/>
    <xf numFmtId="165" fontId="3" fillId="0" borderId="23" xfId="0" applyNumberFormat="1" applyFont="1" applyBorder="1"/>
    <xf numFmtId="4" fontId="3" fillId="0" borderId="23" xfId="0" applyNumberFormat="1" applyFont="1" applyBorder="1"/>
    <xf numFmtId="167" fontId="3" fillId="0" borderId="0" xfId="0" applyNumberFormat="1" applyFont="1"/>
    <xf numFmtId="4" fontId="3" fillId="0" borderId="28" xfId="0" applyNumberFormat="1" applyFont="1" applyBorder="1"/>
    <xf numFmtId="165" fontId="3" fillId="0" borderId="28" xfId="0" applyNumberFormat="1" applyFont="1" applyBorder="1"/>
    <xf numFmtId="165" fontId="3" fillId="0" borderId="29" xfId="0" applyNumberFormat="1" applyFont="1" applyBorder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4" fontId="3" fillId="0" borderId="35" xfId="0" applyNumberFormat="1" applyFont="1" applyBorder="1" applyAlignment="1">
      <alignment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Normal="100" workbookViewId="0">
      <pane ySplit="2" topLeftCell="A3" activePane="bottomLeft" state="frozen"/>
      <selection pane="bottomLeft"/>
    </sheetView>
  </sheetViews>
  <sheetFormatPr defaultColWidth="11.5703125" defaultRowHeight="13.9" customHeight="1" x14ac:dyDescent="0.25"/>
  <cols>
    <col min="1" max="1" width="11.5703125" style="15" customWidth="1"/>
    <col min="2" max="2" width="8.7109375" style="15" customWidth="1"/>
    <col min="3" max="3" width="18.140625" style="15" customWidth="1"/>
    <col min="4" max="7" width="11" style="15" hidden="1" customWidth="1"/>
    <col min="8" max="8" width="11.7109375" style="15" customWidth="1"/>
    <col min="9" max="12" width="11.7109375" style="15" hidden="1" customWidth="1"/>
    <col min="13" max="14" width="11.7109375" style="15" customWidth="1"/>
    <col min="15" max="15" width="6.7109375" style="16" customWidth="1"/>
    <col min="16" max="16" width="11.7109375" style="15" customWidth="1"/>
    <col min="17" max="17" width="6.7109375" style="15" customWidth="1"/>
    <col min="18" max="18" width="11.7109375" style="15" customWidth="1"/>
    <col min="19" max="19" width="6.7109375" style="15" customWidth="1"/>
    <col min="20" max="20" width="11.7109375" style="15" customWidth="1"/>
    <col min="21" max="21" width="6.7109375" style="15" customWidth="1"/>
    <col min="22" max="23" width="11" style="15" hidden="1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4">
        <v>111</v>
      </c>
      <c r="C3" s="24" t="s">
        <v>22</v>
      </c>
      <c r="D3" s="25">
        <f t="shared" ref="D3:N3" si="0">D42+D75-D8</f>
        <v>762955.45</v>
      </c>
      <c r="E3" s="25">
        <f t="shared" si="0"/>
        <v>1086653.9000000004</v>
      </c>
      <c r="F3" s="25">
        <f t="shared" si="0"/>
        <v>867563</v>
      </c>
      <c r="G3" s="25">
        <f t="shared" si="0"/>
        <v>1038931</v>
      </c>
      <c r="H3" s="25">
        <f t="shared" si="0"/>
        <v>1257985</v>
      </c>
      <c r="I3" s="25">
        <f t="shared" si="0"/>
        <v>31674</v>
      </c>
      <c r="J3" s="25">
        <f t="shared" si="0"/>
        <v>0</v>
      </c>
      <c r="K3" s="25">
        <f t="shared" si="0"/>
        <v>0</v>
      </c>
      <c r="L3" s="25">
        <f t="shared" si="0"/>
        <v>0</v>
      </c>
      <c r="M3" s="25">
        <f t="shared" si="0"/>
        <v>1289659</v>
      </c>
      <c r="N3" s="25">
        <f t="shared" si="0"/>
        <v>411582.39999999997</v>
      </c>
      <c r="O3" s="26">
        <f t="shared" ref="O3:O21" si="1">IFERROR(N3/$M3,0)</f>
        <v>0.31914048597342398</v>
      </c>
      <c r="P3" s="25">
        <f>P42+P75-P8</f>
        <v>0</v>
      </c>
      <c r="Q3" s="26">
        <f t="shared" ref="Q3:Q21" si="2">IFERROR(P3/$M3,0)</f>
        <v>0</v>
      </c>
      <c r="R3" s="25">
        <f>R42+R75-R8</f>
        <v>0</v>
      </c>
      <c r="S3" s="26">
        <f t="shared" ref="S3:S21" si="3">IFERROR(R3/$M3,0)</f>
        <v>0</v>
      </c>
      <c r="T3" s="25">
        <f>T42+T75-T8</f>
        <v>0</v>
      </c>
      <c r="U3" s="26">
        <f t="shared" ref="U3:U21" si="4">IFERROR(T3/$M3,0)</f>
        <v>0</v>
      </c>
      <c r="V3" s="25">
        <f>V42+V75-V8</f>
        <v>1203821</v>
      </c>
      <c r="W3" s="25">
        <f>W42+W75-W8</f>
        <v>1206776</v>
      </c>
    </row>
    <row r="4" spans="1:23" ht="13.9" customHeight="1" x14ac:dyDescent="0.25">
      <c r="A4" s="14"/>
      <c r="B4" s="24">
        <v>41</v>
      </c>
      <c r="C4" s="24" t="s">
        <v>23</v>
      </c>
      <c r="D4" s="25">
        <f t="shared" ref="D4:N4" si="5">D25+D43-D9</f>
        <v>1464687.7300000002</v>
      </c>
      <c r="E4" s="25">
        <f t="shared" si="5"/>
        <v>1554082.55</v>
      </c>
      <c r="F4" s="25">
        <f t="shared" si="5"/>
        <v>1383272</v>
      </c>
      <c r="G4" s="25">
        <f t="shared" si="5"/>
        <v>1576039</v>
      </c>
      <c r="H4" s="25">
        <f t="shared" si="5"/>
        <v>1397248</v>
      </c>
      <c r="I4" s="25">
        <f t="shared" si="5"/>
        <v>3717</v>
      </c>
      <c r="J4" s="25">
        <f t="shared" si="5"/>
        <v>0</v>
      </c>
      <c r="K4" s="25">
        <f t="shared" si="5"/>
        <v>0</v>
      </c>
      <c r="L4" s="25">
        <f t="shared" si="5"/>
        <v>0</v>
      </c>
      <c r="M4" s="25">
        <f t="shared" si="5"/>
        <v>1400965</v>
      </c>
      <c r="N4" s="25">
        <f t="shared" si="5"/>
        <v>394519.76</v>
      </c>
      <c r="O4" s="26">
        <f t="shared" si="1"/>
        <v>0.28160572177035115</v>
      </c>
      <c r="P4" s="25">
        <f>P25+P43-P9</f>
        <v>0</v>
      </c>
      <c r="Q4" s="26">
        <f t="shared" si="2"/>
        <v>0</v>
      </c>
      <c r="R4" s="25">
        <f>R25+R43-R9</f>
        <v>0</v>
      </c>
      <c r="S4" s="26">
        <f t="shared" si="3"/>
        <v>0</v>
      </c>
      <c r="T4" s="25">
        <f>T25+T43-T9</f>
        <v>0</v>
      </c>
      <c r="U4" s="26">
        <f t="shared" si="4"/>
        <v>0</v>
      </c>
      <c r="V4" s="25">
        <f>V25+V43-V9</f>
        <v>1531367</v>
      </c>
      <c r="W4" s="25">
        <f>W25+W43-W9</f>
        <v>1595986</v>
      </c>
    </row>
    <row r="5" spans="1:23" ht="13.9" customHeight="1" x14ac:dyDescent="0.25">
      <c r="A5" s="14"/>
      <c r="B5" s="24">
        <v>71</v>
      </c>
      <c r="C5" s="24" t="s">
        <v>24</v>
      </c>
      <c r="D5" s="25">
        <f>D76</f>
        <v>3000</v>
      </c>
      <c r="E5" s="25">
        <f>E76</f>
        <v>3000</v>
      </c>
      <c r="F5" s="25">
        <f>F76</f>
        <v>3000</v>
      </c>
      <c r="G5" s="25">
        <f>G76</f>
        <v>3000</v>
      </c>
      <c r="H5" s="25">
        <f t="shared" ref="H5:N5" si="6">H121</f>
        <v>3000</v>
      </c>
      <c r="I5" s="25">
        <f t="shared" si="6"/>
        <v>0</v>
      </c>
      <c r="J5" s="25">
        <f t="shared" si="6"/>
        <v>0</v>
      </c>
      <c r="K5" s="25">
        <f t="shared" si="6"/>
        <v>0</v>
      </c>
      <c r="L5" s="25">
        <f t="shared" si="6"/>
        <v>0</v>
      </c>
      <c r="M5" s="25">
        <f t="shared" si="6"/>
        <v>3000</v>
      </c>
      <c r="N5" s="25">
        <f t="shared" si="6"/>
        <v>0</v>
      </c>
      <c r="O5" s="26">
        <f t="shared" si="1"/>
        <v>0</v>
      </c>
      <c r="P5" s="25">
        <f>P121</f>
        <v>0</v>
      </c>
      <c r="Q5" s="26">
        <f t="shared" si="2"/>
        <v>0</v>
      </c>
      <c r="R5" s="25">
        <f>R121</f>
        <v>0</v>
      </c>
      <c r="S5" s="26">
        <f t="shared" si="3"/>
        <v>0</v>
      </c>
      <c r="T5" s="25">
        <f>T121</f>
        <v>0</v>
      </c>
      <c r="U5" s="26">
        <f t="shared" si="4"/>
        <v>0</v>
      </c>
      <c r="V5" s="25">
        <f>V76</f>
        <v>3000</v>
      </c>
      <c r="W5" s="25">
        <f>W76</f>
        <v>3000</v>
      </c>
    </row>
    <row r="6" spans="1:23" ht="13.9" customHeight="1" x14ac:dyDescent="0.25">
      <c r="A6" s="14"/>
      <c r="B6" s="24">
        <v>72</v>
      </c>
      <c r="C6" s="24" t="s">
        <v>25</v>
      </c>
      <c r="D6" s="25">
        <f t="shared" ref="D6:N6" si="7">D44+D77</f>
        <v>83132.320000000007</v>
      </c>
      <c r="E6" s="25">
        <f t="shared" si="7"/>
        <v>106433.95</v>
      </c>
      <c r="F6" s="25">
        <f t="shared" si="7"/>
        <v>100476</v>
      </c>
      <c r="G6" s="25">
        <f t="shared" si="7"/>
        <v>87673</v>
      </c>
      <c r="H6" s="25">
        <f t="shared" si="7"/>
        <v>94143</v>
      </c>
      <c r="I6" s="25">
        <f t="shared" si="7"/>
        <v>960</v>
      </c>
      <c r="J6" s="25">
        <f t="shared" si="7"/>
        <v>0</v>
      </c>
      <c r="K6" s="25">
        <f t="shared" si="7"/>
        <v>0</v>
      </c>
      <c r="L6" s="25">
        <f t="shared" si="7"/>
        <v>0</v>
      </c>
      <c r="M6" s="25">
        <f t="shared" si="7"/>
        <v>95103</v>
      </c>
      <c r="N6" s="25">
        <f t="shared" si="7"/>
        <v>28802.47</v>
      </c>
      <c r="O6" s="26">
        <f t="shared" si="1"/>
        <v>0.30285553557721628</v>
      </c>
      <c r="P6" s="25">
        <f>P44+P77</f>
        <v>0</v>
      </c>
      <c r="Q6" s="26">
        <f t="shared" si="2"/>
        <v>0</v>
      </c>
      <c r="R6" s="25">
        <f>R44+R77</f>
        <v>0</v>
      </c>
      <c r="S6" s="26">
        <f t="shared" si="3"/>
        <v>0</v>
      </c>
      <c r="T6" s="25">
        <f>T44+T77</f>
        <v>0</v>
      </c>
      <c r="U6" s="26">
        <f t="shared" si="4"/>
        <v>0</v>
      </c>
      <c r="V6" s="25">
        <f>V44+V77</f>
        <v>94143</v>
      </c>
      <c r="W6" s="25">
        <f>W44+W77</f>
        <v>94143</v>
      </c>
    </row>
    <row r="7" spans="1:23" ht="13.9" customHeight="1" x14ac:dyDescent="0.25">
      <c r="A7" s="14"/>
      <c r="B7" s="24"/>
      <c r="C7" s="27" t="s">
        <v>26</v>
      </c>
      <c r="D7" s="28">
        <f t="shared" ref="D7:N7" si="8">SUM(D3:D6)</f>
        <v>2313775.5</v>
      </c>
      <c r="E7" s="28">
        <f t="shared" si="8"/>
        <v>2750170.4000000004</v>
      </c>
      <c r="F7" s="28">
        <f t="shared" si="8"/>
        <v>2354311</v>
      </c>
      <c r="G7" s="28">
        <f t="shared" si="8"/>
        <v>2705643</v>
      </c>
      <c r="H7" s="28">
        <f t="shared" si="8"/>
        <v>2752376</v>
      </c>
      <c r="I7" s="28">
        <f t="shared" si="8"/>
        <v>36351</v>
      </c>
      <c r="J7" s="28">
        <f t="shared" si="8"/>
        <v>0</v>
      </c>
      <c r="K7" s="28">
        <f t="shared" si="8"/>
        <v>0</v>
      </c>
      <c r="L7" s="28">
        <f t="shared" si="8"/>
        <v>0</v>
      </c>
      <c r="M7" s="28">
        <f t="shared" si="8"/>
        <v>2788727</v>
      </c>
      <c r="N7" s="28">
        <f t="shared" si="8"/>
        <v>834904.62999999989</v>
      </c>
      <c r="O7" s="29">
        <f t="shared" si="1"/>
        <v>0.29938557270037541</v>
      </c>
      <c r="P7" s="28">
        <f>SUM(P3:P6)</f>
        <v>0</v>
      </c>
      <c r="Q7" s="29">
        <f t="shared" si="2"/>
        <v>0</v>
      </c>
      <c r="R7" s="28">
        <f>SUM(R3:R6)</f>
        <v>0</v>
      </c>
      <c r="S7" s="29">
        <f t="shared" si="3"/>
        <v>0</v>
      </c>
      <c r="T7" s="28">
        <f>SUM(T3:T6)</f>
        <v>0</v>
      </c>
      <c r="U7" s="29">
        <f t="shared" si="4"/>
        <v>0</v>
      </c>
      <c r="V7" s="28">
        <f>SUM(V3:V6)</f>
        <v>2832331</v>
      </c>
      <c r="W7" s="28">
        <f>SUM(W3:W6)</f>
        <v>2899905</v>
      </c>
    </row>
    <row r="8" spans="1:23" ht="13.9" customHeight="1" x14ac:dyDescent="0.25">
      <c r="A8" s="14"/>
      <c r="B8" s="24">
        <v>111</v>
      </c>
      <c r="C8" s="24" t="s">
        <v>22</v>
      </c>
      <c r="D8" s="25">
        <f>SUM(D111:D119)</f>
        <v>184139.16</v>
      </c>
      <c r="E8" s="25">
        <f>SUM(E111:E119)</f>
        <v>402631.76</v>
      </c>
      <c r="F8" s="25">
        <f>SUM(F111:F119)</f>
        <v>1009328</v>
      </c>
      <c r="G8" s="25">
        <f>SUM(G111:G119)</f>
        <v>231281</v>
      </c>
      <c r="H8" s="25">
        <f>SUM(H111:H119)</f>
        <v>821040</v>
      </c>
      <c r="I8" s="25">
        <f>SUM(I111:I112)</f>
        <v>0</v>
      </c>
      <c r="J8" s="25">
        <f>SUM(J111:J112)</f>
        <v>0</v>
      </c>
      <c r="K8" s="25">
        <f>SUM(K111:K112)</f>
        <v>0</v>
      </c>
      <c r="L8" s="25">
        <f>SUM(L111:L112)</f>
        <v>0</v>
      </c>
      <c r="M8" s="25">
        <f>SUM(M111:M119)</f>
        <v>821040</v>
      </c>
      <c r="N8" s="25">
        <f>SUM(N111:N119)</f>
        <v>0</v>
      </c>
      <c r="O8" s="26">
        <f t="shared" si="1"/>
        <v>0</v>
      </c>
      <c r="P8" s="25">
        <f>SUM(P111:P119)</f>
        <v>0</v>
      </c>
      <c r="Q8" s="26">
        <f t="shared" si="2"/>
        <v>0</v>
      </c>
      <c r="R8" s="25">
        <f>SUM(R111:R119)</f>
        <v>0</v>
      </c>
      <c r="S8" s="26">
        <f t="shared" si="3"/>
        <v>0</v>
      </c>
      <c r="T8" s="25">
        <f>SUM(T111:T119)</f>
        <v>0</v>
      </c>
      <c r="U8" s="26">
        <f t="shared" si="4"/>
        <v>0</v>
      </c>
      <c r="V8" s="25">
        <f>SUM(V111:V119)</f>
        <v>0</v>
      </c>
      <c r="W8" s="25">
        <f>SUM(W111:W119)</f>
        <v>0</v>
      </c>
    </row>
    <row r="9" spans="1:23" ht="13.9" hidden="1" customHeight="1" x14ac:dyDescent="0.25">
      <c r="A9" s="14"/>
      <c r="B9" s="24">
        <v>43</v>
      </c>
      <c r="C9" s="24" t="s">
        <v>23</v>
      </c>
      <c r="D9" s="25">
        <f t="shared" ref="D9:N9" si="9">D54</f>
        <v>6650</v>
      </c>
      <c r="E9" s="25">
        <f t="shared" si="9"/>
        <v>3650</v>
      </c>
      <c r="F9" s="25">
        <f t="shared" si="9"/>
        <v>0</v>
      </c>
      <c r="G9" s="25">
        <f t="shared" si="9"/>
        <v>0</v>
      </c>
      <c r="H9" s="25">
        <f t="shared" si="9"/>
        <v>0</v>
      </c>
      <c r="I9" s="25">
        <f t="shared" si="9"/>
        <v>0</v>
      </c>
      <c r="J9" s="25">
        <f t="shared" si="9"/>
        <v>0</v>
      </c>
      <c r="K9" s="25">
        <f t="shared" si="9"/>
        <v>0</v>
      </c>
      <c r="L9" s="25">
        <f t="shared" si="9"/>
        <v>0</v>
      </c>
      <c r="M9" s="25">
        <f t="shared" si="9"/>
        <v>0</v>
      </c>
      <c r="N9" s="25">
        <f t="shared" si="9"/>
        <v>0</v>
      </c>
      <c r="O9" s="26">
        <f t="shared" si="1"/>
        <v>0</v>
      </c>
      <c r="P9" s="25">
        <f>P54</f>
        <v>0</v>
      </c>
      <c r="Q9" s="26">
        <f t="shared" si="2"/>
        <v>0</v>
      </c>
      <c r="R9" s="25">
        <f>R54</f>
        <v>0</v>
      </c>
      <c r="S9" s="26">
        <f t="shared" si="3"/>
        <v>0</v>
      </c>
      <c r="T9" s="25">
        <f>T54</f>
        <v>0</v>
      </c>
      <c r="U9" s="26">
        <f t="shared" si="4"/>
        <v>0</v>
      </c>
      <c r="V9" s="25">
        <f>V54</f>
        <v>0</v>
      </c>
      <c r="W9" s="25">
        <f>W54</f>
        <v>0</v>
      </c>
    </row>
    <row r="10" spans="1:23" ht="13.9" customHeight="1" x14ac:dyDescent="0.25">
      <c r="A10" s="14"/>
      <c r="B10" s="24">
        <v>71</v>
      </c>
      <c r="C10" s="24" t="s">
        <v>24</v>
      </c>
      <c r="D10" s="25">
        <v>0</v>
      </c>
      <c r="E10" s="25">
        <v>0</v>
      </c>
      <c r="F10" s="25">
        <v>0</v>
      </c>
      <c r="G10" s="25">
        <v>0</v>
      </c>
      <c r="H10" s="25">
        <f t="shared" ref="H10:N10" si="10">H122</f>
        <v>6000</v>
      </c>
      <c r="I10" s="25">
        <f t="shared" si="10"/>
        <v>0</v>
      </c>
      <c r="J10" s="25">
        <f t="shared" si="10"/>
        <v>0</v>
      </c>
      <c r="K10" s="25">
        <f t="shared" si="10"/>
        <v>0</v>
      </c>
      <c r="L10" s="25">
        <f t="shared" si="10"/>
        <v>0</v>
      </c>
      <c r="M10" s="25">
        <f t="shared" si="10"/>
        <v>6000</v>
      </c>
      <c r="N10" s="25">
        <f t="shared" si="10"/>
        <v>0</v>
      </c>
      <c r="O10" s="26">
        <f t="shared" si="1"/>
        <v>0</v>
      </c>
      <c r="P10" s="25">
        <f>P122</f>
        <v>0</v>
      </c>
      <c r="Q10" s="26">
        <f t="shared" si="2"/>
        <v>0</v>
      </c>
      <c r="R10" s="25">
        <f>R122</f>
        <v>0</v>
      </c>
      <c r="S10" s="26">
        <f t="shared" si="3"/>
        <v>0</v>
      </c>
      <c r="T10" s="25">
        <f>T122</f>
        <v>0</v>
      </c>
      <c r="U10" s="26">
        <f t="shared" si="4"/>
        <v>0</v>
      </c>
      <c r="V10" s="25">
        <v>0</v>
      </c>
      <c r="W10" s="25">
        <v>0</v>
      </c>
    </row>
    <row r="11" spans="1:23" ht="13.9" customHeight="1" x14ac:dyDescent="0.25">
      <c r="A11" s="14"/>
      <c r="B11" s="24"/>
      <c r="C11" s="27" t="s">
        <v>27</v>
      </c>
      <c r="D11" s="28">
        <f t="shared" ref="D11:N11" si="11">SUM(D8:D10)</f>
        <v>190789.16</v>
      </c>
      <c r="E11" s="28">
        <f t="shared" si="11"/>
        <v>406281.76</v>
      </c>
      <c r="F11" s="28">
        <f t="shared" si="11"/>
        <v>1009328</v>
      </c>
      <c r="G11" s="28">
        <f t="shared" si="11"/>
        <v>231281</v>
      </c>
      <c r="H11" s="28">
        <f t="shared" si="11"/>
        <v>827040</v>
      </c>
      <c r="I11" s="28">
        <f t="shared" si="11"/>
        <v>0</v>
      </c>
      <c r="J11" s="28">
        <f t="shared" si="11"/>
        <v>0</v>
      </c>
      <c r="K11" s="28">
        <f t="shared" si="11"/>
        <v>0</v>
      </c>
      <c r="L11" s="28">
        <f t="shared" si="11"/>
        <v>0</v>
      </c>
      <c r="M11" s="28">
        <f t="shared" si="11"/>
        <v>827040</v>
      </c>
      <c r="N11" s="28">
        <f t="shared" si="11"/>
        <v>0</v>
      </c>
      <c r="O11" s="29">
        <f t="shared" si="1"/>
        <v>0</v>
      </c>
      <c r="P11" s="28">
        <f>SUM(P8:P10)</f>
        <v>0</v>
      </c>
      <c r="Q11" s="29">
        <f t="shared" si="2"/>
        <v>0</v>
      </c>
      <c r="R11" s="28">
        <f>SUM(R8:R10)</f>
        <v>0</v>
      </c>
      <c r="S11" s="29">
        <f t="shared" si="3"/>
        <v>0</v>
      </c>
      <c r="T11" s="28">
        <f>SUM(T8:T10)</f>
        <v>0</v>
      </c>
      <c r="U11" s="29">
        <f t="shared" si="4"/>
        <v>0</v>
      </c>
      <c r="V11" s="28">
        <f>SUM(V8:V10)</f>
        <v>0</v>
      </c>
      <c r="W11" s="28">
        <f>SUM(W8:W10)</f>
        <v>0</v>
      </c>
    </row>
    <row r="12" spans="1:23" ht="13.9" customHeight="1" x14ac:dyDescent="0.25">
      <c r="A12" s="14"/>
      <c r="B12" s="24">
        <v>131</v>
      </c>
      <c r="C12" s="24" t="s">
        <v>22</v>
      </c>
      <c r="D12" s="25">
        <f t="shared" ref="D12:N12" si="12">D129</f>
        <v>69416.210000000006</v>
      </c>
      <c r="E12" s="25">
        <f t="shared" si="12"/>
        <v>32325.77</v>
      </c>
      <c r="F12" s="25">
        <f t="shared" si="12"/>
        <v>0</v>
      </c>
      <c r="G12" s="25">
        <f t="shared" si="12"/>
        <v>326950</v>
      </c>
      <c r="H12" s="25">
        <f t="shared" si="12"/>
        <v>177532</v>
      </c>
      <c r="I12" s="25">
        <f t="shared" si="12"/>
        <v>27250</v>
      </c>
      <c r="J12" s="25">
        <f t="shared" si="12"/>
        <v>0</v>
      </c>
      <c r="K12" s="25">
        <f t="shared" si="12"/>
        <v>0</v>
      </c>
      <c r="L12" s="25">
        <f t="shared" si="12"/>
        <v>0</v>
      </c>
      <c r="M12" s="25">
        <f t="shared" si="12"/>
        <v>204782</v>
      </c>
      <c r="N12" s="25">
        <f t="shared" si="12"/>
        <v>204781.27</v>
      </c>
      <c r="O12" s="26">
        <f t="shared" si="1"/>
        <v>0.99999643523356541</v>
      </c>
      <c r="P12" s="25">
        <f>P129</f>
        <v>0</v>
      </c>
      <c r="Q12" s="26">
        <f t="shared" si="2"/>
        <v>0</v>
      </c>
      <c r="R12" s="25">
        <f>R129</f>
        <v>0</v>
      </c>
      <c r="S12" s="26">
        <f t="shared" si="3"/>
        <v>0</v>
      </c>
      <c r="T12" s="25">
        <f>T129</f>
        <v>0</v>
      </c>
      <c r="U12" s="26">
        <f t="shared" si="4"/>
        <v>0</v>
      </c>
      <c r="V12" s="25">
        <f t="shared" ref="V12:W15" si="13">V129</f>
        <v>0</v>
      </c>
      <c r="W12" s="25">
        <f t="shared" si="13"/>
        <v>0</v>
      </c>
    </row>
    <row r="13" spans="1:23" ht="13.9" customHeight="1" x14ac:dyDescent="0.25">
      <c r="A13" s="14"/>
      <c r="B13" s="24">
        <v>41</v>
      </c>
      <c r="C13" s="24" t="s">
        <v>23</v>
      </c>
      <c r="D13" s="25">
        <f t="shared" ref="D13:N13" si="14">D130</f>
        <v>403699.06</v>
      </c>
      <c r="E13" s="25">
        <f t="shared" si="14"/>
        <v>112421.69</v>
      </c>
      <c r="F13" s="25">
        <f t="shared" si="14"/>
        <v>195876</v>
      </c>
      <c r="G13" s="25">
        <f t="shared" si="14"/>
        <v>74201</v>
      </c>
      <c r="H13" s="25">
        <f t="shared" si="14"/>
        <v>150000</v>
      </c>
      <c r="I13" s="25">
        <f t="shared" si="14"/>
        <v>0</v>
      </c>
      <c r="J13" s="25">
        <f t="shared" si="14"/>
        <v>0</v>
      </c>
      <c r="K13" s="25">
        <f t="shared" si="14"/>
        <v>0</v>
      </c>
      <c r="L13" s="25">
        <f t="shared" si="14"/>
        <v>0</v>
      </c>
      <c r="M13" s="25">
        <f t="shared" si="14"/>
        <v>150000</v>
      </c>
      <c r="N13" s="25">
        <f t="shared" si="14"/>
        <v>411034.08999999997</v>
      </c>
      <c r="O13" s="26">
        <f t="shared" si="1"/>
        <v>2.7402272666666665</v>
      </c>
      <c r="P13" s="25">
        <f>P130</f>
        <v>0</v>
      </c>
      <c r="Q13" s="26">
        <f t="shared" si="2"/>
        <v>0</v>
      </c>
      <c r="R13" s="25">
        <f>R130</f>
        <v>0</v>
      </c>
      <c r="S13" s="26">
        <f t="shared" si="3"/>
        <v>0</v>
      </c>
      <c r="T13" s="25">
        <f>T130</f>
        <v>0</v>
      </c>
      <c r="U13" s="26">
        <f t="shared" si="4"/>
        <v>0</v>
      </c>
      <c r="V13" s="25">
        <f t="shared" si="13"/>
        <v>0</v>
      </c>
      <c r="W13" s="25">
        <f t="shared" si="13"/>
        <v>0</v>
      </c>
    </row>
    <row r="14" spans="1:23" ht="13.9" customHeight="1" x14ac:dyDescent="0.25">
      <c r="A14" s="14"/>
      <c r="B14" s="24">
        <v>71</v>
      </c>
      <c r="C14" s="24" t="s">
        <v>24</v>
      </c>
      <c r="D14" s="25">
        <f t="shared" ref="D14:N14" si="15">D131</f>
        <v>4060.3</v>
      </c>
      <c r="E14" s="25">
        <f t="shared" si="15"/>
        <v>30067.64</v>
      </c>
      <c r="F14" s="25">
        <f t="shared" si="15"/>
        <v>0</v>
      </c>
      <c r="G14" s="25">
        <f t="shared" si="15"/>
        <v>49900</v>
      </c>
      <c r="H14" s="25">
        <f t="shared" si="15"/>
        <v>6000</v>
      </c>
      <c r="I14" s="25">
        <f t="shared" si="15"/>
        <v>0</v>
      </c>
      <c r="J14" s="25">
        <f t="shared" si="15"/>
        <v>0</v>
      </c>
      <c r="K14" s="25">
        <f t="shared" si="15"/>
        <v>0</v>
      </c>
      <c r="L14" s="25">
        <f t="shared" si="15"/>
        <v>0</v>
      </c>
      <c r="M14" s="25">
        <f t="shared" si="15"/>
        <v>6000</v>
      </c>
      <c r="N14" s="25">
        <f t="shared" si="15"/>
        <v>4047.64</v>
      </c>
      <c r="O14" s="26">
        <f t="shared" si="1"/>
        <v>0.67460666666666669</v>
      </c>
      <c r="P14" s="25">
        <f>P131</f>
        <v>0</v>
      </c>
      <c r="Q14" s="26">
        <f t="shared" si="2"/>
        <v>0</v>
      </c>
      <c r="R14" s="25">
        <f>R131</f>
        <v>0</v>
      </c>
      <c r="S14" s="26">
        <f t="shared" si="3"/>
        <v>0</v>
      </c>
      <c r="T14" s="25">
        <f>T131</f>
        <v>0</v>
      </c>
      <c r="U14" s="26">
        <f t="shared" si="4"/>
        <v>0</v>
      </c>
      <c r="V14" s="25">
        <f t="shared" si="13"/>
        <v>0</v>
      </c>
      <c r="W14" s="25">
        <f t="shared" si="13"/>
        <v>0</v>
      </c>
    </row>
    <row r="15" spans="1:23" ht="13.9" customHeight="1" x14ac:dyDescent="0.25">
      <c r="A15" s="14"/>
      <c r="B15" s="24">
        <v>72</v>
      </c>
      <c r="C15" s="24" t="s">
        <v>25</v>
      </c>
      <c r="D15" s="25">
        <f t="shared" ref="D15:N15" si="16">D132</f>
        <v>0</v>
      </c>
      <c r="E15" s="25">
        <f t="shared" si="16"/>
        <v>0</v>
      </c>
      <c r="F15" s="25">
        <f t="shared" si="16"/>
        <v>0</v>
      </c>
      <c r="G15" s="25">
        <f t="shared" si="16"/>
        <v>0</v>
      </c>
      <c r="H15" s="25">
        <f t="shared" si="16"/>
        <v>0</v>
      </c>
      <c r="I15" s="25">
        <f t="shared" si="16"/>
        <v>12850</v>
      </c>
      <c r="J15" s="25">
        <f t="shared" si="16"/>
        <v>0</v>
      </c>
      <c r="K15" s="25">
        <f t="shared" si="16"/>
        <v>0</v>
      </c>
      <c r="L15" s="25">
        <f t="shared" si="16"/>
        <v>0</v>
      </c>
      <c r="M15" s="25">
        <f t="shared" si="16"/>
        <v>12850</v>
      </c>
      <c r="N15" s="25">
        <f t="shared" si="16"/>
        <v>12849.56</v>
      </c>
      <c r="O15" s="26">
        <f t="shared" si="1"/>
        <v>0.99996575875486382</v>
      </c>
      <c r="P15" s="25">
        <f>P132</f>
        <v>0</v>
      </c>
      <c r="Q15" s="26">
        <f t="shared" si="2"/>
        <v>0</v>
      </c>
      <c r="R15" s="25">
        <f>R132</f>
        <v>0</v>
      </c>
      <c r="S15" s="26">
        <f t="shared" si="3"/>
        <v>0</v>
      </c>
      <c r="T15" s="25">
        <f>T132</f>
        <v>0</v>
      </c>
      <c r="U15" s="26">
        <f t="shared" si="4"/>
        <v>0</v>
      </c>
      <c r="V15" s="25">
        <f t="shared" si="13"/>
        <v>0</v>
      </c>
      <c r="W15" s="25">
        <f t="shared" si="13"/>
        <v>0</v>
      </c>
    </row>
    <row r="16" spans="1:23" ht="13.9" customHeight="1" x14ac:dyDescent="0.25">
      <c r="A16" s="14"/>
      <c r="B16" s="24"/>
      <c r="C16" s="27" t="s">
        <v>28</v>
      </c>
      <c r="D16" s="28">
        <f t="shared" ref="D16:N16" si="17">SUM(D12:D15)</f>
        <v>477175.57</v>
      </c>
      <c r="E16" s="28">
        <f t="shared" si="17"/>
        <v>174815.09999999998</v>
      </c>
      <c r="F16" s="28">
        <f t="shared" si="17"/>
        <v>195876</v>
      </c>
      <c r="G16" s="28">
        <f t="shared" si="17"/>
        <v>451051</v>
      </c>
      <c r="H16" s="28">
        <f t="shared" si="17"/>
        <v>333532</v>
      </c>
      <c r="I16" s="28">
        <f t="shared" si="17"/>
        <v>40100</v>
      </c>
      <c r="J16" s="28">
        <f t="shared" si="17"/>
        <v>0</v>
      </c>
      <c r="K16" s="28">
        <f t="shared" si="17"/>
        <v>0</v>
      </c>
      <c r="L16" s="28">
        <f t="shared" si="17"/>
        <v>0</v>
      </c>
      <c r="M16" s="28">
        <f t="shared" si="17"/>
        <v>373632</v>
      </c>
      <c r="N16" s="28">
        <f t="shared" si="17"/>
        <v>632712.56000000006</v>
      </c>
      <c r="O16" s="29">
        <f t="shared" si="1"/>
        <v>1.6934110568687908</v>
      </c>
      <c r="P16" s="28">
        <f>SUM(P12:P15)</f>
        <v>0</v>
      </c>
      <c r="Q16" s="29">
        <f t="shared" si="2"/>
        <v>0</v>
      </c>
      <c r="R16" s="28">
        <f>SUM(R12:R15)</f>
        <v>0</v>
      </c>
      <c r="S16" s="29">
        <f t="shared" si="3"/>
        <v>0</v>
      </c>
      <c r="T16" s="28">
        <f>SUM(T12:T15)</f>
        <v>0</v>
      </c>
      <c r="U16" s="29">
        <f t="shared" si="4"/>
        <v>0</v>
      </c>
      <c r="V16" s="28">
        <f>SUM(V12:V15)</f>
        <v>0</v>
      </c>
      <c r="W16" s="28">
        <f>SUM(W12:W15)</f>
        <v>0</v>
      </c>
    </row>
    <row r="17" spans="1:23" ht="13.9" customHeight="1" x14ac:dyDescent="0.25">
      <c r="A17" s="14"/>
      <c r="B17" s="24">
        <v>111</v>
      </c>
      <c r="C17" s="24" t="s">
        <v>22</v>
      </c>
      <c r="D17" s="25">
        <f t="shared" ref="D17:N17" si="18">D3+D8+D12</f>
        <v>1016510.82</v>
      </c>
      <c r="E17" s="25">
        <f t="shared" si="18"/>
        <v>1521611.4300000004</v>
      </c>
      <c r="F17" s="25">
        <f t="shared" si="18"/>
        <v>1876891</v>
      </c>
      <c r="G17" s="25">
        <f t="shared" si="18"/>
        <v>1597162</v>
      </c>
      <c r="H17" s="25">
        <f t="shared" si="18"/>
        <v>2256557</v>
      </c>
      <c r="I17" s="25">
        <f t="shared" si="18"/>
        <v>58924</v>
      </c>
      <c r="J17" s="25">
        <f t="shared" si="18"/>
        <v>0</v>
      </c>
      <c r="K17" s="25">
        <f t="shared" si="18"/>
        <v>0</v>
      </c>
      <c r="L17" s="25">
        <f t="shared" si="18"/>
        <v>0</v>
      </c>
      <c r="M17" s="25">
        <f t="shared" si="18"/>
        <v>2315481</v>
      </c>
      <c r="N17" s="25">
        <f t="shared" si="18"/>
        <v>616363.66999999993</v>
      </c>
      <c r="O17" s="26">
        <f t="shared" si="1"/>
        <v>0.26619249736879719</v>
      </c>
      <c r="P17" s="25">
        <f>P3+P8+P12</f>
        <v>0</v>
      </c>
      <c r="Q17" s="26">
        <f t="shared" si="2"/>
        <v>0</v>
      </c>
      <c r="R17" s="25">
        <f>R3+R8+R12</f>
        <v>0</v>
      </c>
      <c r="S17" s="26">
        <f t="shared" si="3"/>
        <v>0</v>
      </c>
      <c r="T17" s="25">
        <f>T3+T8+T12</f>
        <v>0</v>
      </c>
      <c r="U17" s="26">
        <f t="shared" si="4"/>
        <v>0</v>
      </c>
      <c r="V17" s="25">
        <f t="shared" ref="V17:W19" si="19">V3+V8+V12</f>
        <v>1203821</v>
      </c>
      <c r="W17" s="25">
        <f t="shared" si="19"/>
        <v>1206776</v>
      </c>
    </row>
    <row r="18" spans="1:23" ht="13.9" customHeight="1" x14ac:dyDescent="0.25">
      <c r="A18" s="14"/>
      <c r="B18" s="24">
        <v>41</v>
      </c>
      <c r="C18" s="24" t="s">
        <v>23</v>
      </c>
      <c r="D18" s="25">
        <f t="shared" ref="D18:N18" si="20">D4+D9+D13</f>
        <v>1875036.7900000003</v>
      </c>
      <c r="E18" s="25">
        <f t="shared" si="20"/>
        <v>1670154.24</v>
      </c>
      <c r="F18" s="25">
        <f t="shared" si="20"/>
        <v>1579148</v>
      </c>
      <c r="G18" s="25">
        <f t="shared" si="20"/>
        <v>1650240</v>
      </c>
      <c r="H18" s="25">
        <f t="shared" si="20"/>
        <v>1547248</v>
      </c>
      <c r="I18" s="25">
        <f t="shared" si="20"/>
        <v>3717</v>
      </c>
      <c r="J18" s="25">
        <f t="shared" si="20"/>
        <v>0</v>
      </c>
      <c r="K18" s="25">
        <f t="shared" si="20"/>
        <v>0</v>
      </c>
      <c r="L18" s="25">
        <f t="shared" si="20"/>
        <v>0</v>
      </c>
      <c r="M18" s="25">
        <f t="shared" si="20"/>
        <v>1550965</v>
      </c>
      <c r="N18" s="25">
        <f t="shared" si="20"/>
        <v>805553.85</v>
      </c>
      <c r="O18" s="26">
        <f t="shared" si="1"/>
        <v>0.51938879987620612</v>
      </c>
      <c r="P18" s="25">
        <f>P4+P9+P13</f>
        <v>0</v>
      </c>
      <c r="Q18" s="26">
        <f t="shared" si="2"/>
        <v>0</v>
      </c>
      <c r="R18" s="25">
        <f>R4+R9+R13</f>
        <v>0</v>
      </c>
      <c r="S18" s="26">
        <f t="shared" si="3"/>
        <v>0</v>
      </c>
      <c r="T18" s="25">
        <f>T4+T9+T13</f>
        <v>0</v>
      </c>
      <c r="U18" s="26">
        <f t="shared" si="4"/>
        <v>0</v>
      </c>
      <c r="V18" s="25">
        <f t="shared" si="19"/>
        <v>1531367</v>
      </c>
      <c r="W18" s="25">
        <f t="shared" si="19"/>
        <v>1595986</v>
      </c>
    </row>
    <row r="19" spans="1:23" ht="13.9" customHeight="1" x14ac:dyDescent="0.25">
      <c r="A19" s="14"/>
      <c r="B19" s="24">
        <v>71</v>
      </c>
      <c r="C19" s="24" t="s">
        <v>24</v>
      </c>
      <c r="D19" s="25">
        <f t="shared" ref="D19:G20" si="21">D5+D14</f>
        <v>7060.3</v>
      </c>
      <c r="E19" s="25">
        <f t="shared" si="21"/>
        <v>33067.64</v>
      </c>
      <c r="F19" s="25">
        <f t="shared" si="21"/>
        <v>3000</v>
      </c>
      <c r="G19" s="25">
        <f t="shared" si="21"/>
        <v>52900</v>
      </c>
      <c r="H19" s="25">
        <f t="shared" ref="H19:N19" si="22">H5+H10+H14</f>
        <v>15000</v>
      </c>
      <c r="I19" s="25">
        <f t="shared" si="22"/>
        <v>0</v>
      </c>
      <c r="J19" s="25">
        <f t="shared" si="22"/>
        <v>0</v>
      </c>
      <c r="K19" s="25">
        <f t="shared" si="22"/>
        <v>0</v>
      </c>
      <c r="L19" s="25">
        <f t="shared" si="22"/>
        <v>0</v>
      </c>
      <c r="M19" s="25">
        <f t="shared" si="22"/>
        <v>15000</v>
      </c>
      <c r="N19" s="25">
        <f t="shared" si="22"/>
        <v>4047.64</v>
      </c>
      <c r="O19" s="26">
        <f t="shared" si="1"/>
        <v>0.26984266666666668</v>
      </c>
      <c r="P19" s="25">
        <f>P5+P10+P14</f>
        <v>0</v>
      </c>
      <c r="Q19" s="26">
        <f t="shared" si="2"/>
        <v>0</v>
      </c>
      <c r="R19" s="25">
        <f>R5+R10+R14</f>
        <v>0</v>
      </c>
      <c r="S19" s="26">
        <f t="shared" si="3"/>
        <v>0</v>
      </c>
      <c r="T19" s="25">
        <f>T5+T10+T14</f>
        <v>0</v>
      </c>
      <c r="U19" s="26">
        <f t="shared" si="4"/>
        <v>0</v>
      </c>
      <c r="V19" s="25">
        <f t="shared" si="19"/>
        <v>3000</v>
      </c>
      <c r="W19" s="25">
        <f t="shared" si="19"/>
        <v>3000</v>
      </c>
    </row>
    <row r="20" spans="1:23" ht="13.9" customHeight="1" x14ac:dyDescent="0.25">
      <c r="A20" s="14"/>
      <c r="B20" s="24">
        <v>72</v>
      </c>
      <c r="C20" s="24" t="s">
        <v>25</v>
      </c>
      <c r="D20" s="25">
        <f t="shared" si="21"/>
        <v>83132.320000000007</v>
      </c>
      <c r="E20" s="25">
        <f t="shared" si="21"/>
        <v>106433.95</v>
      </c>
      <c r="F20" s="25">
        <f t="shared" si="21"/>
        <v>100476</v>
      </c>
      <c r="G20" s="25">
        <f t="shared" si="21"/>
        <v>87673</v>
      </c>
      <c r="H20" s="25">
        <f t="shared" ref="H20:N20" si="23">H6+H15</f>
        <v>94143</v>
      </c>
      <c r="I20" s="25">
        <f t="shared" si="23"/>
        <v>13810</v>
      </c>
      <c r="J20" s="25">
        <f t="shared" si="23"/>
        <v>0</v>
      </c>
      <c r="K20" s="25">
        <f t="shared" si="23"/>
        <v>0</v>
      </c>
      <c r="L20" s="25">
        <f t="shared" si="23"/>
        <v>0</v>
      </c>
      <c r="M20" s="25">
        <f t="shared" si="23"/>
        <v>107953</v>
      </c>
      <c r="N20" s="25">
        <f t="shared" si="23"/>
        <v>41652.03</v>
      </c>
      <c r="O20" s="26">
        <f t="shared" si="1"/>
        <v>0.38583485405685808</v>
      </c>
      <c r="P20" s="25">
        <f>P6+P15</f>
        <v>0</v>
      </c>
      <c r="Q20" s="26">
        <f t="shared" si="2"/>
        <v>0</v>
      </c>
      <c r="R20" s="25">
        <f>R6+R15</f>
        <v>0</v>
      </c>
      <c r="S20" s="26">
        <f t="shared" si="3"/>
        <v>0</v>
      </c>
      <c r="T20" s="25">
        <f>T6+T15</f>
        <v>0</v>
      </c>
      <c r="U20" s="26">
        <f t="shared" si="4"/>
        <v>0</v>
      </c>
      <c r="V20" s="25">
        <f>V6+V15</f>
        <v>94143</v>
      </c>
      <c r="W20" s="25">
        <f>W6+W15</f>
        <v>94143</v>
      </c>
    </row>
    <row r="21" spans="1:23" ht="13.9" customHeight="1" x14ac:dyDescent="0.25">
      <c r="A21" s="30"/>
      <c r="B21" s="31"/>
      <c r="C21" s="27" t="s">
        <v>29</v>
      </c>
      <c r="D21" s="28">
        <f t="shared" ref="D21:N21" si="24">SUM(D17:D20)</f>
        <v>2981740.23</v>
      </c>
      <c r="E21" s="28">
        <f t="shared" si="24"/>
        <v>3331267.2600000007</v>
      </c>
      <c r="F21" s="28">
        <f t="shared" si="24"/>
        <v>3559515</v>
      </c>
      <c r="G21" s="28">
        <f t="shared" si="24"/>
        <v>3387975</v>
      </c>
      <c r="H21" s="28">
        <f t="shared" si="24"/>
        <v>3912948</v>
      </c>
      <c r="I21" s="28">
        <f t="shared" si="24"/>
        <v>76451</v>
      </c>
      <c r="J21" s="28">
        <f t="shared" si="24"/>
        <v>0</v>
      </c>
      <c r="K21" s="28">
        <f t="shared" si="24"/>
        <v>0</v>
      </c>
      <c r="L21" s="28">
        <f t="shared" si="24"/>
        <v>0</v>
      </c>
      <c r="M21" s="28">
        <f t="shared" si="24"/>
        <v>3989399</v>
      </c>
      <c r="N21" s="28">
        <f t="shared" si="24"/>
        <v>1467617.19</v>
      </c>
      <c r="O21" s="29">
        <f t="shared" si="1"/>
        <v>0.36787926953408268</v>
      </c>
      <c r="P21" s="28">
        <f>SUM(P17:P20)</f>
        <v>0</v>
      </c>
      <c r="Q21" s="29">
        <f t="shared" si="2"/>
        <v>0</v>
      </c>
      <c r="R21" s="28">
        <f>SUM(R17:R20)</f>
        <v>0</v>
      </c>
      <c r="S21" s="29">
        <f t="shared" si="3"/>
        <v>0</v>
      </c>
      <c r="T21" s="28">
        <f>SUM(T17:T20)</f>
        <v>0</v>
      </c>
      <c r="U21" s="29">
        <f t="shared" si="4"/>
        <v>0</v>
      </c>
      <c r="V21" s="28">
        <f>SUM(V17:V20)</f>
        <v>2832331</v>
      </c>
      <c r="W21" s="28">
        <f>SUM(W17:W20)</f>
        <v>2899905</v>
      </c>
    </row>
    <row r="23" spans="1:23" ht="13.9" customHeight="1" x14ac:dyDescent="0.25">
      <c r="A23" s="32" t="s">
        <v>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2"/>
      <c r="Q23" s="32"/>
      <c r="R23" s="32"/>
      <c r="S23" s="32"/>
      <c r="T23" s="32"/>
      <c r="U23" s="32"/>
      <c r="V23" s="32"/>
      <c r="W23" s="32"/>
    </row>
    <row r="24" spans="1:23" ht="13.9" customHeight="1" x14ac:dyDescent="0.25">
      <c r="A24" s="20"/>
      <c r="B24" s="20"/>
      <c r="C24" s="20"/>
      <c r="D24" s="21" t="s">
        <v>1</v>
      </c>
      <c r="E24" s="21" t="s">
        <v>2</v>
      </c>
      <c r="F24" s="21" t="s">
        <v>3</v>
      </c>
      <c r="G24" s="21" t="s">
        <v>4</v>
      </c>
      <c r="H24" s="21" t="s">
        <v>5</v>
      </c>
      <c r="I24" s="21" t="s">
        <v>6</v>
      </c>
      <c r="J24" s="21" t="s">
        <v>7</v>
      </c>
      <c r="K24" s="21" t="s">
        <v>8</v>
      </c>
      <c r="L24" s="21" t="s">
        <v>9</v>
      </c>
      <c r="M24" s="21" t="s">
        <v>10</v>
      </c>
      <c r="N24" s="21" t="s">
        <v>11</v>
      </c>
      <c r="O24" s="22" t="s">
        <v>12</v>
      </c>
      <c r="P24" s="21" t="s">
        <v>13</v>
      </c>
      <c r="Q24" s="22" t="s">
        <v>14</v>
      </c>
      <c r="R24" s="21" t="s">
        <v>15</v>
      </c>
      <c r="S24" s="22" t="s">
        <v>16</v>
      </c>
      <c r="T24" s="21" t="s">
        <v>17</v>
      </c>
      <c r="U24" s="22" t="s">
        <v>18</v>
      </c>
      <c r="V24" s="21" t="s">
        <v>19</v>
      </c>
      <c r="W24" s="21" t="s">
        <v>20</v>
      </c>
    </row>
    <row r="25" spans="1:23" ht="13.9" customHeight="1" x14ac:dyDescent="0.25">
      <c r="A25" s="34" t="s">
        <v>21</v>
      </c>
      <c r="B25" s="35">
        <v>41</v>
      </c>
      <c r="C25" s="35" t="s">
        <v>23</v>
      </c>
      <c r="D25" s="36">
        <f t="shared" ref="D25:N25" si="25">D38</f>
        <v>1369565.9800000002</v>
      </c>
      <c r="E25" s="36">
        <f t="shared" si="25"/>
        <v>1438143.04</v>
      </c>
      <c r="F25" s="36">
        <f t="shared" si="25"/>
        <v>1278745</v>
      </c>
      <c r="G25" s="36">
        <f t="shared" si="25"/>
        <v>1453015</v>
      </c>
      <c r="H25" s="36">
        <f t="shared" si="25"/>
        <v>1269078</v>
      </c>
      <c r="I25" s="36">
        <f t="shared" si="25"/>
        <v>0</v>
      </c>
      <c r="J25" s="36">
        <f t="shared" si="25"/>
        <v>0</v>
      </c>
      <c r="K25" s="36">
        <f t="shared" si="25"/>
        <v>0</v>
      </c>
      <c r="L25" s="36">
        <f t="shared" si="25"/>
        <v>0</v>
      </c>
      <c r="M25" s="36">
        <f t="shared" si="25"/>
        <v>1269078</v>
      </c>
      <c r="N25" s="36">
        <f t="shared" si="25"/>
        <v>351752.06</v>
      </c>
      <c r="O25" s="37">
        <f>N25/$M25</f>
        <v>0.27717134801800991</v>
      </c>
      <c r="P25" s="36">
        <f>P38</f>
        <v>0</v>
      </c>
      <c r="Q25" s="37">
        <f>P25/$M25</f>
        <v>0</v>
      </c>
      <c r="R25" s="36">
        <f>R38</f>
        <v>0</v>
      </c>
      <c r="S25" s="37">
        <f>R25/$M25</f>
        <v>0</v>
      </c>
      <c r="T25" s="36">
        <f>T38</f>
        <v>0</v>
      </c>
      <c r="U25" s="37">
        <f>T25/$M25</f>
        <v>0</v>
      </c>
      <c r="V25" s="36">
        <f>V38</f>
        <v>1403197</v>
      </c>
      <c r="W25" s="36">
        <f>W38</f>
        <v>1467816</v>
      </c>
    </row>
    <row r="26" spans="1:23" ht="13.9" customHeight="1" x14ac:dyDescent="0.25">
      <c r="A26" s="30"/>
      <c r="B26" s="31"/>
      <c r="C26" s="38" t="s">
        <v>29</v>
      </c>
      <c r="D26" s="39">
        <f t="shared" ref="D26:N26" si="26">SUM(D25)</f>
        <v>1369565.9800000002</v>
      </c>
      <c r="E26" s="39">
        <f t="shared" si="26"/>
        <v>1438143.04</v>
      </c>
      <c r="F26" s="39">
        <f t="shared" si="26"/>
        <v>1278745</v>
      </c>
      <c r="G26" s="39">
        <f t="shared" si="26"/>
        <v>1453015</v>
      </c>
      <c r="H26" s="39">
        <f t="shared" si="26"/>
        <v>1269078</v>
      </c>
      <c r="I26" s="39">
        <f t="shared" si="26"/>
        <v>0</v>
      </c>
      <c r="J26" s="39">
        <f t="shared" si="26"/>
        <v>0</v>
      </c>
      <c r="K26" s="39">
        <f t="shared" si="26"/>
        <v>0</v>
      </c>
      <c r="L26" s="39">
        <f t="shared" si="26"/>
        <v>0</v>
      </c>
      <c r="M26" s="39">
        <f t="shared" si="26"/>
        <v>1269078</v>
      </c>
      <c r="N26" s="39">
        <f t="shared" si="26"/>
        <v>351752.06</v>
      </c>
      <c r="O26" s="40">
        <f>N26/$M26</f>
        <v>0.27717134801800991</v>
      </c>
      <c r="P26" s="39">
        <f>SUM(P25)</f>
        <v>0</v>
      </c>
      <c r="Q26" s="40">
        <f>P26/$M26</f>
        <v>0</v>
      </c>
      <c r="R26" s="39">
        <f>SUM(R25)</f>
        <v>0</v>
      </c>
      <c r="S26" s="40">
        <f>R26/$M26</f>
        <v>0</v>
      </c>
      <c r="T26" s="39">
        <f>SUM(T25)</f>
        <v>0</v>
      </c>
      <c r="U26" s="40">
        <f>T26/$M26</f>
        <v>0</v>
      </c>
      <c r="V26" s="39">
        <f>SUM(V25)</f>
        <v>1403197</v>
      </c>
      <c r="W26" s="39">
        <f>SUM(W25)</f>
        <v>1467816</v>
      </c>
    </row>
    <row r="28" spans="1:23" ht="13.9" customHeight="1" x14ac:dyDescent="0.25">
      <c r="A28" s="41" t="s">
        <v>31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1"/>
      <c r="Q28" s="41"/>
      <c r="R28" s="41"/>
      <c r="S28" s="41"/>
      <c r="T28" s="41"/>
      <c r="U28" s="41"/>
      <c r="V28" s="41"/>
      <c r="W28" s="41"/>
    </row>
    <row r="29" spans="1:23" ht="13.9" customHeight="1" x14ac:dyDescent="0.25">
      <c r="A29" s="21" t="s">
        <v>32</v>
      </c>
      <c r="B29" s="21" t="s">
        <v>33</v>
      </c>
      <c r="C29" s="21" t="s">
        <v>34</v>
      </c>
      <c r="D29" s="21" t="s">
        <v>1</v>
      </c>
      <c r="E29" s="21" t="s">
        <v>2</v>
      </c>
      <c r="F29" s="21" t="s">
        <v>3</v>
      </c>
      <c r="G29" s="21" t="s">
        <v>4</v>
      </c>
      <c r="H29" s="21" t="s">
        <v>5</v>
      </c>
      <c r="I29" s="21" t="s">
        <v>6</v>
      </c>
      <c r="J29" s="21" t="s">
        <v>7</v>
      </c>
      <c r="K29" s="21" t="s">
        <v>8</v>
      </c>
      <c r="L29" s="21" t="s">
        <v>9</v>
      </c>
      <c r="M29" s="21" t="s">
        <v>10</v>
      </c>
      <c r="N29" s="21" t="s">
        <v>11</v>
      </c>
      <c r="O29" s="22" t="s">
        <v>12</v>
      </c>
      <c r="P29" s="21" t="s">
        <v>13</v>
      </c>
      <c r="Q29" s="22" t="s">
        <v>14</v>
      </c>
      <c r="R29" s="21" t="s">
        <v>15</v>
      </c>
      <c r="S29" s="22" t="s">
        <v>16</v>
      </c>
      <c r="T29" s="21" t="s">
        <v>17</v>
      </c>
      <c r="U29" s="22" t="s">
        <v>18</v>
      </c>
      <c r="V29" s="21" t="s">
        <v>19</v>
      </c>
      <c r="W29" s="21" t="s">
        <v>20</v>
      </c>
    </row>
    <row r="30" spans="1:23" ht="13.9" customHeight="1" x14ac:dyDescent="0.25">
      <c r="A30" s="13" t="s">
        <v>35</v>
      </c>
      <c r="B30" s="24">
        <v>111003</v>
      </c>
      <c r="C30" s="24" t="s">
        <v>36</v>
      </c>
      <c r="D30" s="25">
        <v>1241704.26</v>
      </c>
      <c r="E30" s="25">
        <v>1317161.19</v>
      </c>
      <c r="F30" s="25">
        <v>1102816</v>
      </c>
      <c r="G30" s="25">
        <v>1296896</v>
      </c>
      <c r="H30" s="25">
        <v>1111878</v>
      </c>
      <c r="I30" s="25"/>
      <c r="J30" s="25"/>
      <c r="K30" s="25"/>
      <c r="L30" s="25"/>
      <c r="M30" s="25">
        <f t="shared" ref="M30:M37" si="27">H30+SUM(I30:L30)</f>
        <v>1111878</v>
      </c>
      <c r="N30" s="25">
        <v>327908.61</v>
      </c>
      <c r="O30" s="26">
        <f t="shared" ref="O30:O38" si="28">IFERROR(N30/$M30,0)</f>
        <v>0.29491419921969853</v>
      </c>
      <c r="P30" s="25"/>
      <c r="Q30" s="26">
        <f t="shared" ref="Q30:Q38" si="29">IFERROR(P30/$M30,0)</f>
        <v>0</v>
      </c>
      <c r="R30" s="25"/>
      <c r="S30" s="26">
        <f t="shared" ref="S30:S38" si="30">IFERROR(R30/$M30,0)</f>
        <v>0</v>
      </c>
      <c r="T30" s="25"/>
      <c r="U30" s="26">
        <f t="shared" ref="U30:U38" si="31">IFERROR(T30/$M30,0)</f>
        <v>0</v>
      </c>
      <c r="V30" s="25">
        <v>1245997</v>
      </c>
      <c r="W30" s="25">
        <v>1310616</v>
      </c>
    </row>
    <row r="31" spans="1:23" ht="13.9" customHeight="1" x14ac:dyDescent="0.25">
      <c r="A31" s="13"/>
      <c r="B31" s="24">
        <v>121001</v>
      </c>
      <c r="C31" s="24" t="s">
        <v>37</v>
      </c>
      <c r="D31" s="25">
        <v>19723.59</v>
      </c>
      <c r="E31" s="25">
        <v>13255.73</v>
      </c>
      <c r="F31" s="25">
        <v>41809</v>
      </c>
      <c r="G31" s="25">
        <v>18669</v>
      </c>
      <c r="H31" s="25">
        <v>18700</v>
      </c>
      <c r="I31" s="25"/>
      <c r="J31" s="25"/>
      <c r="K31" s="25"/>
      <c r="L31" s="25"/>
      <c r="M31" s="25">
        <f t="shared" si="27"/>
        <v>18700</v>
      </c>
      <c r="N31" s="25">
        <v>9415.82</v>
      </c>
      <c r="O31" s="26">
        <f t="shared" si="28"/>
        <v>0.50351978609625669</v>
      </c>
      <c r="P31" s="25"/>
      <c r="Q31" s="26">
        <f t="shared" si="29"/>
        <v>0</v>
      </c>
      <c r="R31" s="25"/>
      <c r="S31" s="26">
        <f t="shared" si="30"/>
        <v>0</v>
      </c>
      <c r="T31" s="25"/>
      <c r="U31" s="26">
        <f t="shared" si="31"/>
        <v>0</v>
      </c>
      <c r="V31" s="25">
        <f t="shared" ref="V31:V37" si="32">H31</f>
        <v>18700</v>
      </c>
      <c r="W31" s="25">
        <f t="shared" ref="W31:W37" si="33">V31</f>
        <v>18700</v>
      </c>
    </row>
    <row r="32" spans="1:23" ht="13.9" customHeight="1" x14ac:dyDescent="0.25">
      <c r="A32" s="13"/>
      <c r="B32" s="24">
        <v>121002</v>
      </c>
      <c r="C32" s="24" t="s">
        <v>38</v>
      </c>
      <c r="D32" s="25">
        <v>23788.01</v>
      </c>
      <c r="E32" s="25">
        <v>23618.99</v>
      </c>
      <c r="F32" s="25">
        <v>40525</v>
      </c>
      <c r="G32" s="25">
        <v>32379</v>
      </c>
      <c r="H32" s="25">
        <v>33400</v>
      </c>
      <c r="I32" s="25"/>
      <c r="J32" s="25"/>
      <c r="K32" s="25"/>
      <c r="L32" s="25"/>
      <c r="M32" s="25">
        <f t="shared" si="27"/>
        <v>33400</v>
      </c>
      <c r="N32" s="25">
        <v>4332.42</v>
      </c>
      <c r="O32" s="26">
        <f t="shared" si="28"/>
        <v>0.12971317365269461</v>
      </c>
      <c r="P32" s="25"/>
      <c r="Q32" s="26">
        <f t="shared" si="29"/>
        <v>0</v>
      </c>
      <c r="R32" s="25"/>
      <c r="S32" s="26">
        <f t="shared" si="30"/>
        <v>0</v>
      </c>
      <c r="T32" s="25"/>
      <c r="U32" s="26">
        <f t="shared" si="31"/>
        <v>0</v>
      </c>
      <c r="V32" s="25">
        <f t="shared" si="32"/>
        <v>33400</v>
      </c>
      <c r="W32" s="25">
        <f t="shared" si="33"/>
        <v>33400</v>
      </c>
    </row>
    <row r="33" spans="1:64" ht="13.9" customHeight="1" x14ac:dyDescent="0.25">
      <c r="A33" s="13"/>
      <c r="B33" s="24">
        <v>121003</v>
      </c>
      <c r="C33" s="24" t="s">
        <v>39</v>
      </c>
      <c r="D33" s="25">
        <v>111.54</v>
      </c>
      <c r="E33" s="25">
        <v>94.87</v>
      </c>
      <c r="F33" s="25">
        <v>188</v>
      </c>
      <c r="G33" s="25">
        <v>143</v>
      </c>
      <c r="H33" s="25">
        <v>150</v>
      </c>
      <c r="I33" s="25"/>
      <c r="J33" s="25"/>
      <c r="K33" s="25"/>
      <c r="L33" s="25"/>
      <c r="M33" s="25">
        <f t="shared" si="27"/>
        <v>150</v>
      </c>
      <c r="N33" s="25">
        <v>22.1</v>
      </c>
      <c r="O33" s="26">
        <f t="shared" si="28"/>
        <v>0.14733333333333334</v>
      </c>
      <c r="P33" s="25"/>
      <c r="Q33" s="26">
        <f t="shared" si="29"/>
        <v>0</v>
      </c>
      <c r="R33" s="25"/>
      <c r="S33" s="26">
        <f t="shared" si="30"/>
        <v>0</v>
      </c>
      <c r="T33" s="25"/>
      <c r="U33" s="26">
        <f t="shared" si="31"/>
        <v>0</v>
      </c>
      <c r="V33" s="25">
        <f t="shared" si="32"/>
        <v>150</v>
      </c>
      <c r="W33" s="25">
        <f t="shared" si="33"/>
        <v>150</v>
      </c>
    </row>
    <row r="34" spans="1:64" ht="13.9" customHeight="1" x14ac:dyDescent="0.25">
      <c r="A34" s="13"/>
      <c r="B34" s="24">
        <v>133001</v>
      </c>
      <c r="C34" s="24" t="s">
        <v>40</v>
      </c>
      <c r="D34" s="25">
        <v>2578.1</v>
      </c>
      <c r="E34" s="25">
        <v>2289</v>
      </c>
      <c r="F34" s="25">
        <v>2890</v>
      </c>
      <c r="G34" s="25">
        <v>2859</v>
      </c>
      <c r="H34" s="25">
        <v>2850</v>
      </c>
      <c r="I34" s="25"/>
      <c r="J34" s="25"/>
      <c r="K34" s="25"/>
      <c r="L34" s="25"/>
      <c r="M34" s="25">
        <f t="shared" si="27"/>
        <v>2850</v>
      </c>
      <c r="N34" s="25">
        <v>346</v>
      </c>
      <c r="O34" s="26">
        <f t="shared" si="28"/>
        <v>0.12140350877192982</v>
      </c>
      <c r="P34" s="25"/>
      <c r="Q34" s="26">
        <f t="shared" si="29"/>
        <v>0</v>
      </c>
      <c r="R34" s="25"/>
      <c r="S34" s="26">
        <f t="shared" si="30"/>
        <v>0</v>
      </c>
      <c r="T34" s="25"/>
      <c r="U34" s="26">
        <f t="shared" si="31"/>
        <v>0</v>
      </c>
      <c r="V34" s="25">
        <f t="shared" si="32"/>
        <v>2850</v>
      </c>
      <c r="W34" s="25">
        <f t="shared" si="33"/>
        <v>2850</v>
      </c>
    </row>
    <row r="35" spans="1:64" ht="13.9" customHeight="1" x14ac:dyDescent="0.25">
      <c r="A35" s="13"/>
      <c r="B35" s="24">
        <v>133006</v>
      </c>
      <c r="C35" s="24" t="s">
        <v>41</v>
      </c>
      <c r="D35" s="25">
        <v>1169.0999999999999</v>
      </c>
      <c r="E35" s="25">
        <v>426.9</v>
      </c>
      <c r="F35" s="25">
        <v>427</v>
      </c>
      <c r="G35" s="25">
        <v>1944</v>
      </c>
      <c r="H35" s="25">
        <v>1950</v>
      </c>
      <c r="I35" s="25"/>
      <c r="J35" s="25"/>
      <c r="K35" s="25"/>
      <c r="L35" s="25"/>
      <c r="M35" s="25">
        <f t="shared" si="27"/>
        <v>1950</v>
      </c>
      <c r="N35" s="25">
        <v>672</v>
      </c>
      <c r="O35" s="26">
        <f t="shared" si="28"/>
        <v>0.3446153846153846</v>
      </c>
      <c r="P35" s="25"/>
      <c r="Q35" s="26">
        <f t="shared" si="29"/>
        <v>0</v>
      </c>
      <c r="R35" s="25"/>
      <c r="S35" s="26">
        <f t="shared" si="30"/>
        <v>0</v>
      </c>
      <c r="T35" s="25"/>
      <c r="U35" s="26">
        <f t="shared" si="31"/>
        <v>0</v>
      </c>
      <c r="V35" s="25">
        <f t="shared" si="32"/>
        <v>1950</v>
      </c>
      <c r="W35" s="25">
        <f t="shared" si="33"/>
        <v>1950</v>
      </c>
    </row>
    <row r="36" spans="1:64" ht="13.9" customHeight="1" x14ac:dyDescent="0.25">
      <c r="A36" s="13"/>
      <c r="B36" s="24">
        <v>133012</v>
      </c>
      <c r="C36" s="24" t="s">
        <v>42</v>
      </c>
      <c r="D36" s="25">
        <v>2243.4299999999998</v>
      </c>
      <c r="E36" s="25">
        <v>2839.24</v>
      </c>
      <c r="F36" s="25">
        <v>2993</v>
      </c>
      <c r="G36" s="25">
        <v>6488</v>
      </c>
      <c r="H36" s="25">
        <v>6500</v>
      </c>
      <c r="I36" s="25"/>
      <c r="J36" s="25"/>
      <c r="K36" s="25"/>
      <c r="L36" s="25"/>
      <c r="M36" s="25">
        <f t="shared" si="27"/>
        <v>6500</v>
      </c>
      <c r="N36" s="25">
        <v>234.53</v>
      </c>
      <c r="O36" s="26">
        <f t="shared" si="28"/>
        <v>3.6081538461538464E-2</v>
      </c>
      <c r="P36" s="25"/>
      <c r="Q36" s="26">
        <f t="shared" si="29"/>
        <v>0</v>
      </c>
      <c r="R36" s="25"/>
      <c r="S36" s="26">
        <f t="shared" si="30"/>
        <v>0</v>
      </c>
      <c r="T36" s="25"/>
      <c r="U36" s="26">
        <f t="shared" si="31"/>
        <v>0</v>
      </c>
      <c r="V36" s="25">
        <f t="shared" si="32"/>
        <v>6500</v>
      </c>
      <c r="W36" s="25">
        <f t="shared" si="33"/>
        <v>6500</v>
      </c>
    </row>
    <row r="37" spans="1:64" ht="13.9" customHeight="1" x14ac:dyDescent="0.25">
      <c r="A37" s="13"/>
      <c r="B37" s="24">
        <v>133013</v>
      </c>
      <c r="C37" s="24" t="s">
        <v>43</v>
      </c>
      <c r="D37" s="25">
        <v>78247.95</v>
      </c>
      <c r="E37" s="25">
        <v>78457.119999999995</v>
      </c>
      <c r="F37" s="25">
        <v>87097</v>
      </c>
      <c r="G37" s="25">
        <v>93637</v>
      </c>
      <c r="H37" s="25">
        <v>93650</v>
      </c>
      <c r="I37" s="25"/>
      <c r="J37" s="25"/>
      <c r="K37" s="25"/>
      <c r="L37" s="25"/>
      <c r="M37" s="25">
        <f t="shared" si="27"/>
        <v>93650</v>
      </c>
      <c r="N37" s="25">
        <v>8820.58</v>
      </c>
      <c r="O37" s="26">
        <f t="shared" si="28"/>
        <v>9.4186652429257875E-2</v>
      </c>
      <c r="P37" s="25"/>
      <c r="Q37" s="26">
        <f t="shared" si="29"/>
        <v>0</v>
      </c>
      <c r="R37" s="25"/>
      <c r="S37" s="26">
        <f t="shared" si="30"/>
        <v>0</v>
      </c>
      <c r="T37" s="25"/>
      <c r="U37" s="26">
        <f t="shared" si="31"/>
        <v>0</v>
      </c>
      <c r="V37" s="25">
        <f t="shared" si="32"/>
        <v>93650</v>
      </c>
      <c r="W37" s="25">
        <f t="shared" si="33"/>
        <v>93650</v>
      </c>
    </row>
    <row r="38" spans="1:64" ht="13.9" customHeight="1" x14ac:dyDescent="0.25">
      <c r="A38" s="27" t="s">
        <v>21</v>
      </c>
      <c r="B38" s="27">
        <v>41</v>
      </c>
      <c r="C38" s="27" t="s">
        <v>23</v>
      </c>
      <c r="D38" s="28">
        <f t="shared" ref="D38:N38" si="34">SUM(D30:D37)</f>
        <v>1369565.9800000002</v>
      </c>
      <c r="E38" s="28">
        <f t="shared" si="34"/>
        <v>1438143.04</v>
      </c>
      <c r="F38" s="28">
        <f t="shared" si="34"/>
        <v>1278745</v>
      </c>
      <c r="G38" s="28">
        <f t="shared" si="34"/>
        <v>1453015</v>
      </c>
      <c r="H38" s="28">
        <f t="shared" si="34"/>
        <v>1269078</v>
      </c>
      <c r="I38" s="28">
        <f t="shared" si="34"/>
        <v>0</v>
      </c>
      <c r="J38" s="28">
        <f t="shared" si="34"/>
        <v>0</v>
      </c>
      <c r="K38" s="28">
        <f t="shared" si="34"/>
        <v>0</v>
      </c>
      <c r="L38" s="28">
        <f t="shared" si="34"/>
        <v>0</v>
      </c>
      <c r="M38" s="28">
        <f t="shared" si="34"/>
        <v>1269078</v>
      </c>
      <c r="N38" s="28">
        <f t="shared" si="34"/>
        <v>351752.06</v>
      </c>
      <c r="O38" s="29">
        <f t="shared" si="28"/>
        <v>0.27717134801800991</v>
      </c>
      <c r="P38" s="28">
        <f>SUM(P30:P37)</f>
        <v>0</v>
      </c>
      <c r="Q38" s="29">
        <f t="shared" si="29"/>
        <v>0</v>
      </c>
      <c r="R38" s="28">
        <f>SUM(R30:R37)</f>
        <v>0</v>
      </c>
      <c r="S38" s="29">
        <f t="shared" si="30"/>
        <v>0</v>
      </c>
      <c r="T38" s="28">
        <f>SUM(T30:T37)</f>
        <v>0</v>
      </c>
      <c r="U38" s="29">
        <f t="shared" si="31"/>
        <v>0</v>
      </c>
      <c r="V38" s="28">
        <f>SUM(V30:V37)</f>
        <v>1403197</v>
      </c>
      <c r="W38" s="28">
        <f>SUM(W30:W37)</f>
        <v>1467816</v>
      </c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40" spans="1:64" ht="13.9" customHeight="1" x14ac:dyDescent="0.25">
      <c r="A40" s="32" t="s">
        <v>44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2"/>
      <c r="Q40" s="32"/>
      <c r="R40" s="32"/>
      <c r="S40" s="32"/>
      <c r="T40" s="32"/>
      <c r="U40" s="32"/>
      <c r="V40" s="32"/>
      <c r="W40" s="32"/>
    </row>
    <row r="41" spans="1:64" ht="13.9" customHeight="1" x14ac:dyDescent="0.25">
      <c r="A41" s="20"/>
      <c r="B41" s="20"/>
      <c r="C41" s="20"/>
      <c r="D41" s="21" t="s">
        <v>1</v>
      </c>
      <c r="E41" s="21" t="s">
        <v>2</v>
      </c>
      <c r="F41" s="21" t="s">
        <v>3</v>
      </c>
      <c r="G41" s="21" t="s">
        <v>4</v>
      </c>
      <c r="H41" s="21" t="s">
        <v>5</v>
      </c>
      <c r="I41" s="21" t="s">
        <v>6</v>
      </c>
      <c r="J41" s="21" t="s">
        <v>7</v>
      </c>
      <c r="K41" s="21" t="s">
        <v>8</v>
      </c>
      <c r="L41" s="21" t="s">
        <v>9</v>
      </c>
      <c r="M41" s="21" t="s">
        <v>10</v>
      </c>
      <c r="N41" s="21" t="s">
        <v>11</v>
      </c>
      <c r="O41" s="22" t="s">
        <v>12</v>
      </c>
      <c r="P41" s="21" t="s">
        <v>13</v>
      </c>
      <c r="Q41" s="22" t="s">
        <v>14</v>
      </c>
      <c r="R41" s="21" t="s">
        <v>15</v>
      </c>
      <c r="S41" s="22" t="s">
        <v>16</v>
      </c>
      <c r="T41" s="21" t="s">
        <v>17</v>
      </c>
      <c r="U41" s="22" t="s">
        <v>18</v>
      </c>
      <c r="V41" s="21" t="s">
        <v>19</v>
      </c>
      <c r="W41" s="21" t="s">
        <v>20</v>
      </c>
    </row>
    <row r="42" spans="1:64" ht="13.9" customHeight="1" x14ac:dyDescent="0.25">
      <c r="A42" s="12" t="s">
        <v>21</v>
      </c>
      <c r="B42" s="35">
        <v>111</v>
      </c>
      <c r="C42" s="35" t="s">
        <v>45</v>
      </c>
      <c r="D42" s="36">
        <f t="shared" ref="D42:N42" si="35">D51</f>
        <v>236.74</v>
      </c>
      <c r="E42" s="36">
        <f t="shared" si="35"/>
        <v>29.25</v>
      </c>
      <c r="F42" s="36">
        <f t="shared" si="35"/>
        <v>0</v>
      </c>
      <c r="G42" s="36">
        <f t="shared" si="35"/>
        <v>4037</v>
      </c>
      <c r="H42" s="36">
        <f t="shared" si="35"/>
        <v>0</v>
      </c>
      <c r="I42" s="36">
        <f t="shared" si="35"/>
        <v>735</v>
      </c>
      <c r="J42" s="36">
        <f t="shared" si="35"/>
        <v>0</v>
      </c>
      <c r="K42" s="36">
        <f t="shared" si="35"/>
        <v>0</v>
      </c>
      <c r="L42" s="36">
        <f t="shared" si="35"/>
        <v>0</v>
      </c>
      <c r="M42" s="36">
        <f t="shared" si="35"/>
        <v>735</v>
      </c>
      <c r="N42" s="36">
        <f t="shared" si="35"/>
        <v>734.92</v>
      </c>
      <c r="O42" s="37">
        <f>IFERROR(N42/$M42,0)</f>
        <v>0.99989115646258497</v>
      </c>
      <c r="P42" s="36">
        <f>P51</f>
        <v>0</v>
      </c>
      <c r="Q42" s="37">
        <f>IFERROR(P42/$M42,0)</f>
        <v>0</v>
      </c>
      <c r="R42" s="36">
        <f>R51</f>
        <v>0</v>
      </c>
      <c r="S42" s="37">
        <f>IFERROR(R42/$M42,0)</f>
        <v>0</v>
      </c>
      <c r="T42" s="36">
        <f>T51</f>
        <v>0</v>
      </c>
      <c r="U42" s="37">
        <f>IFERROR(T42/$M42,0)</f>
        <v>0</v>
      </c>
      <c r="V42" s="36">
        <f>V51</f>
        <v>0</v>
      </c>
      <c r="W42" s="36">
        <f>W51</f>
        <v>0</v>
      </c>
    </row>
    <row r="43" spans="1:64" ht="13.9" customHeight="1" x14ac:dyDescent="0.25">
      <c r="A43" s="12" t="s">
        <v>21</v>
      </c>
      <c r="B43" s="35">
        <v>41</v>
      </c>
      <c r="C43" s="35" t="s">
        <v>23</v>
      </c>
      <c r="D43" s="36">
        <f t="shared" ref="D43:N43" si="36">D57</f>
        <v>101771.75</v>
      </c>
      <c r="E43" s="36">
        <f t="shared" si="36"/>
        <v>119589.51000000001</v>
      </c>
      <c r="F43" s="36">
        <f t="shared" si="36"/>
        <v>104527</v>
      </c>
      <c r="G43" s="36">
        <f t="shared" si="36"/>
        <v>123024</v>
      </c>
      <c r="H43" s="36">
        <f t="shared" si="36"/>
        <v>128170</v>
      </c>
      <c r="I43" s="36">
        <f t="shared" si="36"/>
        <v>3717</v>
      </c>
      <c r="J43" s="36">
        <f t="shared" si="36"/>
        <v>0</v>
      </c>
      <c r="K43" s="36">
        <f t="shared" si="36"/>
        <v>0</v>
      </c>
      <c r="L43" s="36">
        <f t="shared" si="36"/>
        <v>0</v>
      </c>
      <c r="M43" s="36">
        <f t="shared" si="36"/>
        <v>131887</v>
      </c>
      <c r="N43" s="36">
        <f t="shared" si="36"/>
        <v>42767.700000000004</v>
      </c>
      <c r="O43" s="37">
        <f>IFERROR(N43/$M43,0)</f>
        <v>0.32427532660535158</v>
      </c>
      <c r="P43" s="36">
        <f>P57</f>
        <v>0</v>
      </c>
      <c r="Q43" s="37">
        <f>IFERROR(P43/$M43,0)</f>
        <v>0</v>
      </c>
      <c r="R43" s="36">
        <f>R57</f>
        <v>0</v>
      </c>
      <c r="S43" s="37">
        <f>IFERROR(R43/$M43,0)</f>
        <v>0</v>
      </c>
      <c r="T43" s="36">
        <f>T57</f>
        <v>0</v>
      </c>
      <c r="U43" s="37">
        <f>IFERROR(T43/$M43,0)</f>
        <v>0</v>
      </c>
      <c r="V43" s="36">
        <f>V57</f>
        <v>128170</v>
      </c>
      <c r="W43" s="36">
        <f>W57</f>
        <v>128170</v>
      </c>
    </row>
    <row r="44" spans="1:64" ht="13.9" customHeight="1" x14ac:dyDescent="0.25">
      <c r="A44" s="12"/>
      <c r="B44" s="35">
        <v>72</v>
      </c>
      <c r="C44" s="35" t="s">
        <v>25</v>
      </c>
      <c r="D44" s="36">
        <f t="shared" ref="D44:N44" si="37">D60</f>
        <v>78785.180000000008</v>
      </c>
      <c r="E44" s="36">
        <f t="shared" si="37"/>
        <v>100447.70999999999</v>
      </c>
      <c r="F44" s="36">
        <f t="shared" si="37"/>
        <v>100476</v>
      </c>
      <c r="G44" s="36">
        <f t="shared" si="37"/>
        <v>87662</v>
      </c>
      <c r="H44" s="36">
        <f t="shared" si="37"/>
        <v>92143</v>
      </c>
      <c r="I44" s="36">
        <f t="shared" si="37"/>
        <v>960</v>
      </c>
      <c r="J44" s="36">
        <f t="shared" si="37"/>
        <v>0</v>
      </c>
      <c r="K44" s="36">
        <f t="shared" si="37"/>
        <v>0</v>
      </c>
      <c r="L44" s="36">
        <f t="shared" si="37"/>
        <v>0</v>
      </c>
      <c r="M44" s="36">
        <f t="shared" si="37"/>
        <v>93103</v>
      </c>
      <c r="N44" s="36">
        <f t="shared" si="37"/>
        <v>28802.47</v>
      </c>
      <c r="O44" s="37">
        <f>IFERROR(N44/$M44,0)</f>
        <v>0.30936135248058605</v>
      </c>
      <c r="P44" s="36">
        <f>P60</f>
        <v>0</v>
      </c>
      <c r="Q44" s="37">
        <f>IFERROR(P44/$M44,0)</f>
        <v>0</v>
      </c>
      <c r="R44" s="36">
        <f>R60</f>
        <v>0</v>
      </c>
      <c r="S44" s="37">
        <f>IFERROR(R44/$M44,0)</f>
        <v>0</v>
      </c>
      <c r="T44" s="36">
        <f>T60</f>
        <v>0</v>
      </c>
      <c r="U44" s="37">
        <f>IFERROR(T44/$M44,0)</f>
        <v>0</v>
      </c>
      <c r="V44" s="36">
        <f>V60</f>
        <v>92143</v>
      </c>
      <c r="W44" s="36">
        <f>W60</f>
        <v>92143</v>
      </c>
    </row>
    <row r="45" spans="1:64" ht="13.9" customHeight="1" x14ac:dyDescent="0.25">
      <c r="A45" s="30"/>
      <c r="B45" s="31"/>
      <c r="C45" s="38" t="s">
        <v>29</v>
      </c>
      <c r="D45" s="39">
        <f t="shared" ref="D45:N45" si="38">SUM(D42:D44)</f>
        <v>180793.67</v>
      </c>
      <c r="E45" s="39">
        <f t="shared" si="38"/>
        <v>220066.47</v>
      </c>
      <c r="F45" s="39">
        <f t="shared" si="38"/>
        <v>205003</v>
      </c>
      <c r="G45" s="39">
        <f t="shared" si="38"/>
        <v>214723</v>
      </c>
      <c r="H45" s="39">
        <f t="shared" si="38"/>
        <v>220313</v>
      </c>
      <c r="I45" s="39">
        <f t="shared" si="38"/>
        <v>5412</v>
      </c>
      <c r="J45" s="39">
        <f t="shared" si="38"/>
        <v>0</v>
      </c>
      <c r="K45" s="39">
        <f t="shared" si="38"/>
        <v>0</v>
      </c>
      <c r="L45" s="39">
        <f t="shared" si="38"/>
        <v>0</v>
      </c>
      <c r="M45" s="39">
        <f t="shared" si="38"/>
        <v>225725</v>
      </c>
      <c r="N45" s="39">
        <f t="shared" si="38"/>
        <v>72305.09</v>
      </c>
      <c r="O45" s="40">
        <f>IFERROR(N45/$M45,0)</f>
        <v>0.32032380108539149</v>
      </c>
      <c r="P45" s="39">
        <f>SUM(P42:P44)</f>
        <v>0</v>
      </c>
      <c r="Q45" s="40">
        <f>IFERROR(P45/$M45,0)</f>
        <v>0</v>
      </c>
      <c r="R45" s="39">
        <f>SUM(R42:R44)</f>
        <v>0</v>
      </c>
      <c r="S45" s="40">
        <f>IFERROR(R45/$M45,0)</f>
        <v>0</v>
      </c>
      <c r="T45" s="39">
        <f>SUM(T42:T44)</f>
        <v>0</v>
      </c>
      <c r="U45" s="40">
        <f>IFERROR(T45/$M45,0)</f>
        <v>0</v>
      </c>
      <c r="V45" s="39">
        <f>SUM(V42:V44)</f>
        <v>220313</v>
      </c>
      <c r="W45" s="39">
        <f>SUM(W42:W44)</f>
        <v>220313</v>
      </c>
    </row>
    <row r="47" spans="1:64" ht="13.9" customHeight="1" x14ac:dyDescent="0.25">
      <c r="A47" s="41" t="s">
        <v>46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/>
      <c r="P47" s="41"/>
      <c r="Q47" s="41"/>
      <c r="R47" s="41"/>
      <c r="S47" s="41"/>
      <c r="T47" s="41"/>
      <c r="U47" s="41"/>
      <c r="V47" s="41"/>
      <c r="W47" s="41"/>
    </row>
    <row r="48" spans="1:64" ht="13.9" customHeight="1" x14ac:dyDescent="0.25">
      <c r="A48" s="21" t="s">
        <v>32</v>
      </c>
      <c r="B48" s="21" t="s">
        <v>33</v>
      </c>
      <c r="C48" s="21" t="s">
        <v>34</v>
      </c>
      <c r="D48" s="21" t="s">
        <v>1</v>
      </c>
      <c r="E48" s="21" t="s">
        <v>2</v>
      </c>
      <c r="F48" s="21" t="s">
        <v>3</v>
      </c>
      <c r="G48" s="21" t="s">
        <v>4</v>
      </c>
      <c r="H48" s="21" t="s">
        <v>5</v>
      </c>
      <c r="I48" s="21" t="s">
        <v>6</v>
      </c>
      <c r="J48" s="21" t="s">
        <v>7</v>
      </c>
      <c r="K48" s="21" t="s">
        <v>8</v>
      </c>
      <c r="L48" s="21" t="s">
        <v>9</v>
      </c>
      <c r="M48" s="21" t="s">
        <v>10</v>
      </c>
      <c r="N48" s="21" t="s">
        <v>11</v>
      </c>
      <c r="O48" s="22" t="s">
        <v>12</v>
      </c>
      <c r="P48" s="21" t="s">
        <v>13</v>
      </c>
      <c r="Q48" s="22" t="s">
        <v>14</v>
      </c>
      <c r="R48" s="21" t="s">
        <v>15</v>
      </c>
      <c r="S48" s="22" t="s">
        <v>16</v>
      </c>
      <c r="T48" s="21" t="s">
        <v>17</v>
      </c>
      <c r="U48" s="22" t="s">
        <v>18</v>
      </c>
      <c r="V48" s="21" t="s">
        <v>19</v>
      </c>
      <c r="W48" s="21" t="s">
        <v>20</v>
      </c>
    </row>
    <row r="49" spans="1:23" ht="13.9" customHeight="1" x14ac:dyDescent="0.25">
      <c r="A49" s="45" t="s">
        <v>47</v>
      </c>
      <c r="B49" s="24">
        <v>290</v>
      </c>
      <c r="C49" s="24" t="s">
        <v>48</v>
      </c>
      <c r="D49" s="46">
        <v>0</v>
      </c>
      <c r="E49" s="46">
        <v>0</v>
      </c>
      <c r="F49" s="46">
        <v>0</v>
      </c>
      <c r="G49" s="46">
        <v>4037</v>
      </c>
      <c r="H49" s="46">
        <v>0</v>
      </c>
      <c r="I49" s="46"/>
      <c r="J49" s="46"/>
      <c r="K49" s="46"/>
      <c r="L49" s="46"/>
      <c r="M49" s="46">
        <f>H49+SUM(I49:L49)</f>
        <v>0</v>
      </c>
      <c r="N49" s="46">
        <v>0</v>
      </c>
      <c r="O49" s="47">
        <f t="shared" ref="O49:O60" si="39">IFERROR(N49/$M49,0)</f>
        <v>0</v>
      </c>
      <c r="P49" s="46"/>
      <c r="Q49" s="47">
        <f t="shared" ref="Q49:Q60" si="40">IFERROR(P49/$M49,0)</f>
        <v>0</v>
      </c>
      <c r="R49" s="46"/>
      <c r="S49" s="47">
        <f t="shared" ref="S49:S60" si="41">IFERROR(R49/$M49,0)</f>
        <v>0</v>
      </c>
      <c r="T49" s="46"/>
      <c r="U49" s="47">
        <f t="shared" ref="U49:U60" si="42">IFERROR(T49/$M49,0)</f>
        <v>0</v>
      </c>
      <c r="V49" s="25">
        <f>H49</f>
        <v>0</v>
      </c>
      <c r="W49" s="25">
        <f>V49</f>
        <v>0</v>
      </c>
    </row>
    <row r="50" spans="1:23" ht="13.9" customHeight="1" x14ac:dyDescent="0.25">
      <c r="A50" s="45"/>
      <c r="B50" s="24" t="s">
        <v>49</v>
      </c>
      <c r="C50" s="24" t="s">
        <v>50</v>
      </c>
      <c r="D50" s="46">
        <v>236.74</v>
      </c>
      <c r="E50" s="46">
        <v>29.25</v>
      </c>
      <c r="F50" s="46">
        <v>0</v>
      </c>
      <c r="G50" s="46">
        <v>0</v>
      </c>
      <c r="H50" s="46">
        <v>0</v>
      </c>
      <c r="I50" s="46">
        <v>735</v>
      </c>
      <c r="J50" s="46"/>
      <c r="K50" s="46"/>
      <c r="L50" s="46"/>
      <c r="M50" s="46">
        <f>H50+SUM(I50:L50)</f>
        <v>735</v>
      </c>
      <c r="N50" s="46">
        <v>734.92</v>
      </c>
      <c r="O50" s="47">
        <f t="shared" si="39"/>
        <v>0.99989115646258497</v>
      </c>
      <c r="P50" s="46"/>
      <c r="Q50" s="47">
        <f t="shared" si="40"/>
        <v>0</v>
      </c>
      <c r="R50" s="46"/>
      <c r="S50" s="47">
        <f t="shared" si="41"/>
        <v>0</v>
      </c>
      <c r="T50" s="46"/>
      <c r="U50" s="47">
        <f t="shared" si="42"/>
        <v>0</v>
      </c>
      <c r="V50" s="25">
        <f>H50</f>
        <v>0</v>
      </c>
      <c r="W50" s="25">
        <f>V50</f>
        <v>0</v>
      </c>
    </row>
    <row r="51" spans="1:23" ht="13.9" customHeight="1" x14ac:dyDescent="0.25">
      <c r="A51" s="48" t="s">
        <v>21</v>
      </c>
      <c r="B51" s="48">
        <v>111</v>
      </c>
      <c r="C51" s="48" t="s">
        <v>45</v>
      </c>
      <c r="D51" s="49">
        <f>SUM(D49:D50)</f>
        <v>236.74</v>
      </c>
      <c r="E51" s="49">
        <f>SUM(E50)</f>
        <v>29.25</v>
      </c>
      <c r="F51" s="49">
        <f t="shared" ref="F51:N51" si="43">SUM(F49:F50)</f>
        <v>0</v>
      </c>
      <c r="G51" s="49">
        <f t="shared" si="43"/>
        <v>4037</v>
      </c>
      <c r="H51" s="49">
        <f t="shared" si="43"/>
        <v>0</v>
      </c>
      <c r="I51" s="49">
        <f t="shared" si="43"/>
        <v>735</v>
      </c>
      <c r="J51" s="49">
        <f t="shared" si="43"/>
        <v>0</v>
      </c>
      <c r="K51" s="49">
        <f t="shared" si="43"/>
        <v>0</v>
      </c>
      <c r="L51" s="49">
        <f t="shared" si="43"/>
        <v>0</v>
      </c>
      <c r="M51" s="49">
        <f t="shared" si="43"/>
        <v>735</v>
      </c>
      <c r="N51" s="49">
        <f t="shared" si="43"/>
        <v>734.92</v>
      </c>
      <c r="O51" s="50">
        <f t="shared" si="39"/>
        <v>0.99989115646258497</v>
      </c>
      <c r="P51" s="49">
        <f>SUM(P49:P50)</f>
        <v>0</v>
      </c>
      <c r="Q51" s="50">
        <f t="shared" si="40"/>
        <v>0</v>
      </c>
      <c r="R51" s="49">
        <f>SUM(R49:R50)</f>
        <v>0</v>
      </c>
      <c r="S51" s="50">
        <f t="shared" si="41"/>
        <v>0</v>
      </c>
      <c r="T51" s="49">
        <f>SUM(T49:T50)</f>
        <v>0</v>
      </c>
      <c r="U51" s="50">
        <f t="shared" si="42"/>
        <v>0</v>
      </c>
      <c r="V51" s="49">
        <f>SUM(V49:V50)</f>
        <v>0</v>
      </c>
      <c r="W51" s="49">
        <f>SUM(W49:W50)</f>
        <v>0</v>
      </c>
    </row>
    <row r="52" spans="1:23" ht="13.9" customHeight="1" x14ac:dyDescent="0.25">
      <c r="A52" s="11" t="s">
        <v>47</v>
      </c>
      <c r="B52" s="24">
        <v>210</v>
      </c>
      <c r="C52" s="24" t="s">
        <v>51</v>
      </c>
      <c r="D52" s="25">
        <v>3008.78</v>
      </c>
      <c r="E52" s="25">
        <v>5797.62</v>
      </c>
      <c r="F52" s="25">
        <v>3772</v>
      </c>
      <c r="G52" s="25">
        <v>5663</v>
      </c>
      <c r="H52" s="25">
        <v>5610</v>
      </c>
      <c r="I52" s="25">
        <v>110</v>
      </c>
      <c r="J52" s="25"/>
      <c r="K52" s="25"/>
      <c r="L52" s="25"/>
      <c r="M52" s="25">
        <f>H52+SUM(I52:L52)</f>
        <v>5720</v>
      </c>
      <c r="N52" s="25">
        <v>3112.04</v>
      </c>
      <c r="O52" s="26">
        <f t="shared" si="39"/>
        <v>0.54406293706293707</v>
      </c>
      <c r="P52" s="25"/>
      <c r="Q52" s="26">
        <f t="shared" si="40"/>
        <v>0</v>
      </c>
      <c r="R52" s="25"/>
      <c r="S52" s="26">
        <f t="shared" si="41"/>
        <v>0</v>
      </c>
      <c r="T52" s="25"/>
      <c r="U52" s="26">
        <f t="shared" si="42"/>
        <v>0</v>
      </c>
      <c r="V52" s="25">
        <f>H52</f>
        <v>5610</v>
      </c>
      <c r="W52" s="25">
        <f>V52</f>
        <v>5610</v>
      </c>
    </row>
    <row r="53" spans="1:23" ht="13.9" customHeight="1" x14ac:dyDescent="0.25">
      <c r="A53" s="11"/>
      <c r="B53" s="24">
        <v>220</v>
      </c>
      <c r="C53" s="24" t="s">
        <v>52</v>
      </c>
      <c r="D53" s="25">
        <v>76775.839999999997</v>
      </c>
      <c r="E53" s="25">
        <v>75387.42</v>
      </c>
      <c r="F53" s="25">
        <v>89899</v>
      </c>
      <c r="G53" s="25">
        <v>95287</v>
      </c>
      <c r="H53" s="25">
        <v>111400</v>
      </c>
      <c r="I53" s="25"/>
      <c r="J53" s="25"/>
      <c r="K53" s="25"/>
      <c r="L53" s="25"/>
      <c r="M53" s="25">
        <f>H53+SUM(I53:L53)</f>
        <v>111400</v>
      </c>
      <c r="N53" s="25">
        <v>33929.120000000003</v>
      </c>
      <c r="O53" s="26">
        <f t="shared" si="39"/>
        <v>0.30457019748653502</v>
      </c>
      <c r="P53" s="25"/>
      <c r="Q53" s="26">
        <f t="shared" si="40"/>
        <v>0</v>
      </c>
      <c r="R53" s="25"/>
      <c r="S53" s="26">
        <f t="shared" si="41"/>
        <v>0</v>
      </c>
      <c r="T53" s="25"/>
      <c r="U53" s="26">
        <f t="shared" si="42"/>
        <v>0</v>
      </c>
      <c r="V53" s="25">
        <f>H53</f>
        <v>111400</v>
      </c>
      <c r="W53" s="25">
        <f>V53</f>
        <v>111400</v>
      </c>
    </row>
    <row r="54" spans="1:23" ht="13.9" hidden="1" customHeight="1" x14ac:dyDescent="0.25">
      <c r="A54" s="11"/>
      <c r="B54" s="24">
        <v>230</v>
      </c>
      <c r="C54" s="24" t="s">
        <v>53</v>
      </c>
      <c r="D54" s="25">
        <v>6650</v>
      </c>
      <c r="E54" s="25">
        <v>3650</v>
      </c>
      <c r="F54" s="25">
        <v>0</v>
      </c>
      <c r="G54" s="25">
        <v>0</v>
      </c>
      <c r="H54" s="25">
        <v>0</v>
      </c>
      <c r="I54" s="25"/>
      <c r="J54" s="25"/>
      <c r="K54" s="25"/>
      <c r="L54" s="25"/>
      <c r="M54" s="25">
        <f>H54+SUM(I54:L54)</f>
        <v>0</v>
      </c>
      <c r="N54" s="25">
        <v>0</v>
      </c>
      <c r="O54" s="26">
        <f t="shared" si="39"/>
        <v>0</v>
      </c>
      <c r="P54" s="25"/>
      <c r="Q54" s="26">
        <f t="shared" si="40"/>
        <v>0</v>
      </c>
      <c r="R54" s="25"/>
      <c r="S54" s="26">
        <f t="shared" si="41"/>
        <v>0</v>
      </c>
      <c r="T54" s="25"/>
      <c r="U54" s="26">
        <f t="shared" si="42"/>
        <v>0</v>
      </c>
      <c r="V54" s="25">
        <f>H54</f>
        <v>0</v>
      </c>
      <c r="W54" s="25">
        <f>V54</f>
        <v>0</v>
      </c>
    </row>
    <row r="55" spans="1:23" ht="13.9" customHeight="1" x14ac:dyDescent="0.25">
      <c r="A55" s="11"/>
      <c r="B55" s="24">
        <v>240</v>
      </c>
      <c r="C55" s="24" t="s">
        <v>54</v>
      </c>
      <c r="D55" s="25">
        <v>0</v>
      </c>
      <c r="E55" s="25">
        <v>11.99</v>
      </c>
      <c r="F55" s="25">
        <v>10</v>
      </c>
      <c r="G55" s="25">
        <v>223</v>
      </c>
      <c r="H55" s="25">
        <v>220</v>
      </c>
      <c r="I55" s="25">
        <v>42</v>
      </c>
      <c r="J55" s="25"/>
      <c r="K55" s="25"/>
      <c r="L55" s="25"/>
      <c r="M55" s="25">
        <f>H55+SUM(I55:L55)</f>
        <v>262</v>
      </c>
      <c r="N55" s="25">
        <v>245.68</v>
      </c>
      <c r="O55" s="26">
        <f t="shared" si="39"/>
        <v>0.9377099236641222</v>
      </c>
      <c r="P55" s="25"/>
      <c r="Q55" s="26">
        <f t="shared" si="40"/>
        <v>0</v>
      </c>
      <c r="R55" s="25"/>
      <c r="S55" s="26">
        <f t="shared" si="41"/>
        <v>0</v>
      </c>
      <c r="T55" s="25"/>
      <c r="U55" s="26">
        <f t="shared" si="42"/>
        <v>0</v>
      </c>
      <c r="V55" s="25">
        <f>H55</f>
        <v>220</v>
      </c>
      <c r="W55" s="25">
        <f>V55</f>
        <v>220</v>
      </c>
    </row>
    <row r="56" spans="1:23" ht="13.9" customHeight="1" x14ac:dyDescent="0.25">
      <c r="A56" s="11"/>
      <c r="B56" s="24">
        <v>290</v>
      </c>
      <c r="C56" s="24" t="s">
        <v>48</v>
      </c>
      <c r="D56" s="25">
        <v>15337.13</v>
      </c>
      <c r="E56" s="25">
        <v>34742.480000000003</v>
      </c>
      <c r="F56" s="25">
        <v>10846</v>
      </c>
      <c r="G56" s="25">
        <v>21851</v>
      </c>
      <c r="H56" s="25">
        <v>10940</v>
      </c>
      <c r="I56" s="25">
        <v>3565</v>
      </c>
      <c r="J56" s="25"/>
      <c r="K56" s="25"/>
      <c r="L56" s="25"/>
      <c r="M56" s="25">
        <f>H56+SUM(I56:L56)</f>
        <v>14505</v>
      </c>
      <c r="N56" s="25">
        <v>5480.86</v>
      </c>
      <c r="O56" s="26">
        <f t="shared" si="39"/>
        <v>0.37786004825922093</v>
      </c>
      <c r="P56" s="25"/>
      <c r="Q56" s="26">
        <f t="shared" si="40"/>
        <v>0</v>
      </c>
      <c r="R56" s="25"/>
      <c r="S56" s="26">
        <f t="shared" si="41"/>
        <v>0</v>
      </c>
      <c r="T56" s="25"/>
      <c r="U56" s="26">
        <f t="shared" si="42"/>
        <v>0</v>
      </c>
      <c r="V56" s="25">
        <f>H56</f>
        <v>10940</v>
      </c>
      <c r="W56" s="25">
        <f>V56</f>
        <v>10940</v>
      </c>
    </row>
    <row r="57" spans="1:23" ht="13.9" customHeight="1" x14ac:dyDescent="0.25">
      <c r="A57" s="48" t="s">
        <v>21</v>
      </c>
      <c r="B57" s="48">
        <v>41</v>
      </c>
      <c r="C57" s="48" t="s">
        <v>23</v>
      </c>
      <c r="D57" s="49">
        <f t="shared" ref="D57:N57" si="44">SUM(D52:D56)</f>
        <v>101771.75</v>
      </c>
      <c r="E57" s="49">
        <f t="shared" si="44"/>
        <v>119589.51000000001</v>
      </c>
      <c r="F57" s="49">
        <f t="shared" si="44"/>
        <v>104527</v>
      </c>
      <c r="G57" s="49">
        <f t="shared" si="44"/>
        <v>123024</v>
      </c>
      <c r="H57" s="49">
        <f t="shared" si="44"/>
        <v>128170</v>
      </c>
      <c r="I57" s="49">
        <f t="shared" si="44"/>
        <v>3717</v>
      </c>
      <c r="J57" s="49">
        <f t="shared" si="44"/>
        <v>0</v>
      </c>
      <c r="K57" s="49">
        <f t="shared" si="44"/>
        <v>0</v>
      </c>
      <c r="L57" s="49">
        <f t="shared" si="44"/>
        <v>0</v>
      </c>
      <c r="M57" s="49">
        <f t="shared" si="44"/>
        <v>131887</v>
      </c>
      <c r="N57" s="49">
        <f t="shared" si="44"/>
        <v>42767.700000000004</v>
      </c>
      <c r="O57" s="50">
        <f t="shared" si="39"/>
        <v>0.32427532660535158</v>
      </c>
      <c r="P57" s="49">
        <f>SUM(P52:P56)</f>
        <v>0</v>
      </c>
      <c r="Q57" s="50">
        <f t="shared" si="40"/>
        <v>0</v>
      </c>
      <c r="R57" s="49">
        <f>SUM(R52:R56)</f>
        <v>0</v>
      </c>
      <c r="S57" s="50">
        <f t="shared" si="41"/>
        <v>0</v>
      </c>
      <c r="T57" s="49">
        <f>SUM(T52:T56)</f>
        <v>0</v>
      </c>
      <c r="U57" s="50">
        <f t="shared" si="42"/>
        <v>0</v>
      </c>
      <c r="V57" s="49">
        <f>SUM(V52:V56)</f>
        <v>128170</v>
      </c>
      <c r="W57" s="49">
        <f>SUM(W52:W56)</f>
        <v>128170</v>
      </c>
    </row>
    <row r="58" spans="1:23" ht="13.9" customHeight="1" x14ac:dyDescent="0.25">
      <c r="A58" s="13" t="s">
        <v>47</v>
      </c>
      <c r="B58" s="24">
        <v>290</v>
      </c>
      <c r="C58" s="24" t="s">
        <v>48</v>
      </c>
      <c r="D58" s="25">
        <v>3032.57</v>
      </c>
      <c r="E58" s="25">
        <v>2376.81</v>
      </c>
      <c r="F58" s="25">
        <v>2576</v>
      </c>
      <c r="G58" s="25">
        <v>2287</v>
      </c>
      <c r="H58" s="25">
        <v>2943</v>
      </c>
      <c r="I58" s="25"/>
      <c r="J58" s="25"/>
      <c r="K58" s="25"/>
      <c r="L58" s="25"/>
      <c r="M58" s="25">
        <f>H58+SUM(I58:L58)</f>
        <v>2943</v>
      </c>
      <c r="N58" s="25">
        <v>675.84</v>
      </c>
      <c r="O58" s="26">
        <f t="shared" si="39"/>
        <v>0.22964322120285424</v>
      </c>
      <c r="P58" s="25"/>
      <c r="Q58" s="26">
        <f t="shared" si="40"/>
        <v>0</v>
      </c>
      <c r="R58" s="25"/>
      <c r="S58" s="26">
        <f t="shared" si="41"/>
        <v>0</v>
      </c>
      <c r="T58" s="25"/>
      <c r="U58" s="26">
        <f t="shared" si="42"/>
        <v>0</v>
      </c>
      <c r="V58" s="25">
        <f>H58</f>
        <v>2943</v>
      </c>
      <c r="W58" s="25">
        <f>V58</f>
        <v>2943</v>
      </c>
    </row>
    <row r="59" spans="1:23" ht="13.9" customHeight="1" x14ac:dyDescent="0.25">
      <c r="A59" s="13"/>
      <c r="B59" s="24" t="s">
        <v>49</v>
      </c>
      <c r="C59" s="24" t="s">
        <v>50</v>
      </c>
      <c r="D59" s="46">
        <v>75752.61</v>
      </c>
      <c r="E59" s="46">
        <v>98070.9</v>
      </c>
      <c r="F59" s="46">
        <v>97900</v>
      </c>
      <c r="G59" s="46">
        <v>85375</v>
      </c>
      <c r="H59" s="46">
        <v>89200</v>
      </c>
      <c r="I59" s="46">
        <v>960</v>
      </c>
      <c r="J59" s="46"/>
      <c r="K59" s="46"/>
      <c r="L59" s="46"/>
      <c r="M59" s="46">
        <f>H59+SUM(I59:L59)</f>
        <v>90160</v>
      </c>
      <c r="N59" s="46">
        <v>28126.63</v>
      </c>
      <c r="O59" s="47">
        <f t="shared" si="39"/>
        <v>0.31196350931677019</v>
      </c>
      <c r="P59" s="46"/>
      <c r="Q59" s="47">
        <f t="shared" si="40"/>
        <v>0</v>
      </c>
      <c r="R59" s="46"/>
      <c r="S59" s="47">
        <f t="shared" si="41"/>
        <v>0</v>
      </c>
      <c r="T59" s="46"/>
      <c r="U59" s="47">
        <f t="shared" si="42"/>
        <v>0</v>
      </c>
      <c r="V59" s="25">
        <f>H59</f>
        <v>89200</v>
      </c>
      <c r="W59" s="25">
        <f>V59</f>
        <v>89200</v>
      </c>
    </row>
    <row r="60" spans="1:23" ht="13.9" customHeight="1" x14ac:dyDescent="0.25">
      <c r="A60" s="48" t="s">
        <v>21</v>
      </c>
      <c r="B60" s="48">
        <v>72</v>
      </c>
      <c r="C60" s="48" t="s">
        <v>25</v>
      </c>
      <c r="D60" s="49">
        <f t="shared" ref="D60:N60" si="45">SUM(D58:D59)</f>
        <v>78785.180000000008</v>
      </c>
      <c r="E60" s="49">
        <f t="shared" si="45"/>
        <v>100447.70999999999</v>
      </c>
      <c r="F60" s="49">
        <f t="shared" si="45"/>
        <v>100476</v>
      </c>
      <c r="G60" s="49">
        <f t="shared" si="45"/>
        <v>87662</v>
      </c>
      <c r="H60" s="49">
        <f t="shared" si="45"/>
        <v>92143</v>
      </c>
      <c r="I60" s="49">
        <f t="shared" si="45"/>
        <v>960</v>
      </c>
      <c r="J60" s="49">
        <f t="shared" si="45"/>
        <v>0</v>
      </c>
      <c r="K60" s="49">
        <f t="shared" si="45"/>
        <v>0</v>
      </c>
      <c r="L60" s="49">
        <f t="shared" si="45"/>
        <v>0</v>
      </c>
      <c r="M60" s="49">
        <f t="shared" si="45"/>
        <v>93103</v>
      </c>
      <c r="N60" s="49">
        <f t="shared" si="45"/>
        <v>28802.47</v>
      </c>
      <c r="O60" s="50">
        <f t="shared" si="39"/>
        <v>0.30936135248058605</v>
      </c>
      <c r="P60" s="49">
        <f>SUM(P58:P59)</f>
        <v>0</v>
      </c>
      <c r="Q60" s="50">
        <f t="shared" si="40"/>
        <v>0</v>
      </c>
      <c r="R60" s="49">
        <f>SUM(R58:R59)</f>
        <v>0</v>
      </c>
      <c r="S60" s="50">
        <f t="shared" si="41"/>
        <v>0</v>
      </c>
      <c r="T60" s="49">
        <f>SUM(T58:T59)</f>
        <v>0</v>
      </c>
      <c r="U60" s="50">
        <f t="shared" si="42"/>
        <v>0</v>
      </c>
      <c r="V60" s="49">
        <f>SUM(V58:V59)</f>
        <v>92143</v>
      </c>
      <c r="W60" s="49">
        <f>SUM(W58:W59)</f>
        <v>92143</v>
      </c>
    </row>
    <row r="62" spans="1:23" ht="13.9" customHeight="1" x14ac:dyDescent="0.25">
      <c r="B62" s="52" t="s">
        <v>55</v>
      </c>
      <c r="C62" s="30" t="s">
        <v>56</v>
      </c>
      <c r="D62" s="53">
        <v>3008.78</v>
      </c>
      <c r="E62" s="53">
        <v>5797.62</v>
      </c>
      <c r="F62" s="53">
        <v>3742</v>
      </c>
      <c r="G62" s="53">
        <v>5657</v>
      </c>
      <c r="H62" s="53">
        <v>5600</v>
      </c>
      <c r="I62" s="53"/>
      <c r="J62" s="53"/>
      <c r="K62" s="53"/>
      <c r="L62" s="53"/>
      <c r="M62" s="53">
        <f t="shared" ref="M62:M71" si="46">H62+SUM(I62:L62)</f>
        <v>5600</v>
      </c>
      <c r="N62" s="53">
        <v>2992.04</v>
      </c>
      <c r="O62" s="54">
        <f t="shared" ref="O62:O71" si="47">IFERROR(N62/$M62,0)</f>
        <v>0.53429285714285712</v>
      </c>
      <c r="P62" s="53"/>
      <c r="Q62" s="54">
        <f t="shared" ref="Q62:Q71" si="48">IFERROR(P62/$M62,0)</f>
        <v>0</v>
      </c>
      <c r="R62" s="53"/>
      <c r="S62" s="54">
        <f t="shared" ref="S62:S71" si="49">IFERROR(R62/$M62,0)</f>
        <v>0</v>
      </c>
      <c r="T62" s="53"/>
      <c r="U62" s="55">
        <f t="shared" ref="U62:U71" si="50">IFERROR(T62/$M62,0)</f>
        <v>0</v>
      </c>
      <c r="V62" s="53">
        <f>H62</f>
        <v>5600</v>
      </c>
      <c r="W62" s="56">
        <f t="shared" ref="W62:W68" si="51">V62</f>
        <v>5600</v>
      </c>
    </row>
    <row r="63" spans="1:23" ht="13.9" customHeight="1" x14ac:dyDescent="0.25">
      <c r="B63" s="57"/>
      <c r="C63" s="58" t="s">
        <v>57</v>
      </c>
      <c r="D63" s="59">
        <v>8042.5</v>
      </c>
      <c r="E63" s="59">
        <v>6504</v>
      </c>
      <c r="F63" s="59">
        <v>6781</v>
      </c>
      <c r="G63" s="59">
        <v>8135</v>
      </c>
      <c r="H63" s="59">
        <v>8150</v>
      </c>
      <c r="I63" s="59"/>
      <c r="J63" s="59"/>
      <c r="K63" s="59"/>
      <c r="L63" s="59"/>
      <c r="M63" s="59">
        <f t="shared" si="46"/>
        <v>8150</v>
      </c>
      <c r="N63" s="59">
        <v>1905</v>
      </c>
      <c r="O63" s="16">
        <f t="shared" si="47"/>
        <v>0.23374233128834357</v>
      </c>
      <c r="P63" s="59"/>
      <c r="Q63" s="16">
        <f t="shared" si="48"/>
        <v>0</v>
      </c>
      <c r="R63" s="59"/>
      <c r="S63" s="16">
        <f t="shared" si="49"/>
        <v>0</v>
      </c>
      <c r="T63" s="59"/>
      <c r="U63" s="60">
        <f t="shared" si="50"/>
        <v>0</v>
      </c>
      <c r="V63" s="59">
        <f>H63</f>
        <v>8150</v>
      </c>
      <c r="W63" s="61">
        <f t="shared" si="51"/>
        <v>8150</v>
      </c>
    </row>
    <row r="64" spans="1:23" ht="13.9" customHeight="1" x14ac:dyDescent="0.25">
      <c r="B64" s="57"/>
      <c r="C64" s="58" t="s">
        <v>58</v>
      </c>
      <c r="D64" s="59">
        <v>22067.42</v>
      </c>
      <c r="E64" s="59">
        <v>15034.52</v>
      </c>
      <c r="F64" s="59">
        <v>29399</v>
      </c>
      <c r="G64" s="59">
        <v>13986</v>
      </c>
      <c r="H64" s="59">
        <v>14000</v>
      </c>
      <c r="I64" s="59"/>
      <c r="J64" s="59"/>
      <c r="K64" s="59"/>
      <c r="L64" s="59"/>
      <c r="M64" s="59">
        <f t="shared" si="46"/>
        <v>14000</v>
      </c>
      <c r="N64" s="59">
        <v>3699.3</v>
      </c>
      <c r="O64" s="16">
        <f t="shared" si="47"/>
        <v>0.2642357142857143</v>
      </c>
      <c r="P64" s="59"/>
      <c r="Q64" s="16">
        <f t="shared" si="48"/>
        <v>0</v>
      </c>
      <c r="R64" s="59"/>
      <c r="S64" s="16">
        <f t="shared" si="49"/>
        <v>0</v>
      </c>
      <c r="T64" s="59"/>
      <c r="U64" s="60">
        <f t="shared" si="50"/>
        <v>0</v>
      </c>
      <c r="V64" s="59">
        <f>H64</f>
        <v>14000</v>
      </c>
      <c r="W64" s="61">
        <f t="shared" si="51"/>
        <v>14000</v>
      </c>
    </row>
    <row r="65" spans="1:23" ht="13.9" customHeight="1" x14ac:dyDescent="0.25">
      <c r="B65" s="57"/>
      <c r="C65" s="58" t="s">
        <v>59</v>
      </c>
      <c r="D65" s="62">
        <v>41391.19</v>
      </c>
      <c r="E65" s="62">
        <v>42810.92</v>
      </c>
      <c r="F65" s="62">
        <v>48600</v>
      </c>
      <c r="G65" s="62">
        <v>49309</v>
      </c>
      <c r="H65" s="62">
        <v>54050</v>
      </c>
      <c r="I65" s="62"/>
      <c r="J65" s="62"/>
      <c r="K65" s="62"/>
      <c r="L65" s="62"/>
      <c r="M65" s="62">
        <f t="shared" si="46"/>
        <v>54050</v>
      </c>
      <c r="N65" s="62">
        <v>11729.77</v>
      </c>
      <c r="O65" s="63">
        <f t="shared" si="47"/>
        <v>0.21701702127659575</v>
      </c>
      <c r="P65" s="62"/>
      <c r="Q65" s="63">
        <f t="shared" si="48"/>
        <v>0</v>
      </c>
      <c r="R65" s="62"/>
      <c r="S65" s="63">
        <f t="shared" si="49"/>
        <v>0</v>
      </c>
      <c r="T65" s="62"/>
      <c r="U65" s="64">
        <f t="shared" si="50"/>
        <v>0</v>
      </c>
      <c r="V65" s="59">
        <f>H65</f>
        <v>54050</v>
      </c>
      <c r="W65" s="61">
        <f t="shared" si="51"/>
        <v>54050</v>
      </c>
    </row>
    <row r="66" spans="1:23" ht="13.9" customHeight="1" x14ac:dyDescent="0.25">
      <c r="B66" s="57"/>
      <c r="C66" s="58" t="s">
        <v>60</v>
      </c>
      <c r="D66" s="62">
        <v>0</v>
      </c>
      <c r="E66" s="62">
        <v>500</v>
      </c>
      <c r="F66" s="62">
        <v>0</v>
      </c>
      <c r="G66" s="62">
        <v>15000</v>
      </c>
      <c r="H66" s="62">
        <v>28000</v>
      </c>
      <c r="I66" s="62"/>
      <c r="J66" s="62"/>
      <c r="K66" s="62"/>
      <c r="L66" s="62"/>
      <c r="M66" s="62">
        <f t="shared" si="46"/>
        <v>28000</v>
      </c>
      <c r="N66" s="62">
        <v>14867.6</v>
      </c>
      <c r="O66" s="63">
        <f t="shared" si="47"/>
        <v>0.53098571428571428</v>
      </c>
      <c r="P66" s="62"/>
      <c r="Q66" s="63">
        <f t="shared" si="48"/>
        <v>0</v>
      </c>
      <c r="R66" s="62"/>
      <c r="S66" s="63">
        <f t="shared" si="49"/>
        <v>0</v>
      </c>
      <c r="T66" s="62"/>
      <c r="U66" s="64">
        <f t="shared" si="50"/>
        <v>0</v>
      </c>
      <c r="V66" s="59">
        <v>0</v>
      </c>
      <c r="W66" s="61">
        <f t="shared" si="51"/>
        <v>0</v>
      </c>
    </row>
    <row r="67" spans="1:23" ht="13.9" customHeight="1" x14ac:dyDescent="0.25">
      <c r="B67" s="57"/>
      <c r="C67" s="58" t="s">
        <v>61</v>
      </c>
      <c r="D67" s="62">
        <v>1195</v>
      </c>
      <c r="E67" s="62">
        <v>1718</v>
      </c>
      <c r="F67" s="62">
        <v>1444</v>
      </c>
      <c r="G67" s="62">
        <v>3200</v>
      </c>
      <c r="H67" s="62">
        <v>3200</v>
      </c>
      <c r="I67" s="62"/>
      <c r="J67" s="62"/>
      <c r="K67" s="62"/>
      <c r="L67" s="62"/>
      <c r="M67" s="62">
        <f t="shared" si="46"/>
        <v>3200</v>
      </c>
      <c r="N67" s="62">
        <v>545</v>
      </c>
      <c r="O67" s="63">
        <f t="shared" si="47"/>
        <v>0.17031250000000001</v>
      </c>
      <c r="P67" s="62"/>
      <c r="Q67" s="63">
        <f t="shared" si="48"/>
        <v>0</v>
      </c>
      <c r="R67" s="62"/>
      <c r="S67" s="63">
        <f t="shared" si="49"/>
        <v>0</v>
      </c>
      <c r="T67" s="62"/>
      <c r="U67" s="64">
        <f t="shared" si="50"/>
        <v>0</v>
      </c>
      <c r="V67" s="59">
        <f>H67</f>
        <v>3200</v>
      </c>
      <c r="W67" s="61">
        <f t="shared" si="51"/>
        <v>3200</v>
      </c>
    </row>
    <row r="68" spans="1:23" ht="13.9" hidden="1" customHeight="1" x14ac:dyDescent="0.25">
      <c r="B68" s="57"/>
      <c r="C68" s="58" t="s">
        <v>62</v>
      </c>
      <c r="D68" s="62">
        <v>6650</v>
      </c>
      <c r="E68" s="62">
        <v>0</v>
      </c>
      <c r="F68" s="62">
        <v>0</v>
      </c>
      <c r="G68" s="62">
        <v>0</v>
      </c>
      <c r="H68" s="62">
        <v>0</v>
      </c>
      <c r="I68" s="62"/>
      <c r="J68" s="62"/>
      <c r="K68" s="62"/>
      <c r="L68" s="62"/>
      <c r="M68" s="62">
        <f t="shared" si="46"/>
        <v>0</v>
      </c>
      <c r="N68" s="62"/>
      <c r="O68" s="63">
        <f t="shared" si="47"/>
        <v>0</v>
      </c>
      <c r="P68" s="62"/>
      <c r="Q68" s="63">
        <f t="shared" si="48"/>
        <v>0</v>
      </c>
      <c r="R68" s="62"/>
      <c r="S68" s="63">
        <f t="shared" si="49"/>
        <v>0</v>
      </c>
      <c r="T68" s="62"/>
      <c r="U68" s="64">
        <f t="shared" si="50"/>
        <v>0</v>
      </c>
      <c r="V68" s="59">
        <f>H68</f>
        <v>0</v>
      </c>
      <c r="W68" s="61">
        <f t="shared" si="51"/>
        <v>0</v>
      </c>
    </row>
    <row r="69" spans="1:23" ht="13.9" customHeight="1" x14ac:dyDescent="0.25">
      <c r="B69" s="57"/>
      <c r="C69" s="58" t="s">
        <v>63</v>
      </c>
      <c r="D69" s="62">
        <v>3111.51</v>
      </c>
      <c r="E69" s="62">
        <v>16975.27</v>
      </c>
      <c r="F69" s="62">
        <v>1470</v>
      </c>
      <c r="G69" s="62">
        <v>3413</v>
      </c>
      <c r="H69" s="62">
        <v>1600</v>
      </c>
      <c r="I69" s="62">
        <v>411</v>
      </c>
      <c r="J69" s="62"/>
      <c r="K69" s="62"/>
      <c r="L69" s="62"/>
      <c r="M69" s="62">
        <f t="shared" si="46"/>
        <v>2011</v>
      </c>
      <c r="N69" s="62">
        <v>1951.39</v>
      </c>
      <c r="O69" s="63">
        <f t="shared" si="47"/>
        <v>0.97035803083043271</v>
      </c>
      <c r="P69" s="62"/>
      <c r="Q69" s="63">
        <f t="shared" si="48"/>
        <v>0</v>
      </c>
      <c r="R69" s="62"/>
      <c r="S69" s="63">
        <f t="shared" si="49"/>
        <v>0</v>
      </c>
      <c r="T69" s="62"/>
      <c r="U69" s="64">
        <f t="shared" si="50"/>
        <v>0</v>
      </c>
      <c r="V69" s="59">
        <v>0</v>
      </c>
      <c r="W69" s="61">
        <v>0</v>
      </c>
    </row>
    <row r="70" spans="1:23" ht="13.9" customHeight="1" x14ac:dyDescent="0.25">
      <c r="B70" s="57"/>
      <c r="C70" s="58" t="s">
        <v>64</v>
      </c>
      <c r="D70" s="59">
        <v>4334.43</v>
      </c>
      <c r="E70" s="59">
        <v>7990.73</v>
      </c>
      <c r="F70" s="59">
        <v>0</v>
      </c>
      <c r="G70" s="59">
        <v>11037</v>
      </c>
      <c r="H70" s="59">
        <v>0</v>
      </c>
      <c r="I70" s="59">
        <v>2955</v>
      </c>
      <c r="J70" s="59"/>
      <c r="K70" s="59"/>
      <c r="L70" s="59"/>
      <c r="M70" s="59">
        <f t="shared" si="46"/>
        <v>2955</v>
      </c>
      <c r="N70" s="59">
        <v>1685.62</v>
      </c>
      <c r="O70" s="16">
        <f t="shared" si="47"/>
        <v>0.57042978003384093</v>
      </c>
      <c r="P70" s="59"/>
      <c r="Q70" s="16">
        <f t="shared" si="48"/>
        <v>0</v>
      </c>
      <c r="R70" s="59"/>
      <c r="S70" s="16">
        <f t="shared" si="49"/>
        <v>0</v>
      </c>
      <c r="T70" s="59"/>
      <c r="U70" s="60">
        <f t="shared" si="50"/>
        <v>0</v>
      </c>
      <c r="V70" s="59">
        <v>0</v>
      </c>
      <c r="W70" s="61">
        <f>V70</f>
        <v>0</v>
      </c>
    </row>
    <row r="71" spans="1:23" ht="13.9" customHeight="1" x14ac:dyDescent="0.25">
      <c r="B71" s="65"/>
      <c r="C71" s="66" t="s">
        <v>65</v>
      </c>
      <c r="D71" s="67">
        <v>6397.79</v>
      </c>
      <c r="E71" s="67">
        <v>8156.72</v>
      </c>
      <c r="F71" s="67">
        <v>9375</v>
      </c>
      <c r="G71" s="67">
        <v>9293</v>
      </c>
      <c r="H71" s="67">
        <v>9340</v>
      </c>
      <c r="I71" s="67"/>
      <c r="J71" s="67"/>
      <c r="K71" s="67"/>
      <c r="L71" s="67"/>
      <c r="M71" s="67">
        <f t="shared" si="46"/>
        <v>9340</v>
      </c>
      <c r="N71" s="67">
        <v>1696</v>
      </c>
      <c r="O71" s="68">
        <f t="shared" si="47"/>
        <v>0.1815845824411135</v>
      </c>
      <c r="P71" s="67"/>
      <c r="Q71" s="68">
        <f t="shared" si="48"/>
        <v>0</v>
      </c>
      <c r="R71" s="67"/>
      <c r="S71" s="68">
        <f t="shared" si="49"/>
        <v>0</v>
      </c>
      <c r="T71" s="67"/>
      <c r="U71" s="69">
        <f t="shared" si="50"/>
        <v>0</v>
      </c>
      <c r="V71" s="67">
        <f>H71</f>
        <v>9340</v>
      </c>
      <c r="W71" s="70">
        <f>V71</f>
        <v>9340</v>
      </c>
    </row>
    <row r="73" spans="1:23" ht="13.9" customHeight="1" x14ac:dyDescent="0.25">
      <c r="A73" s="32" t="s">
        <v>66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  <c r="P73" s="32"/>
      <c r="Q73" s="32"/>
      <c r="R73" s="32"/>
      <c r="S73" s="32"/>
      <c r="T73" s="32"/>
      <c r="U73" s="32"/>
      <c r="V73" s="32"/>
      <c r="W73" s="32"/>
    </row>
    <row r="74" spans="1:23" ht="13.9" customHeight="1" x14ac:dyDescent="0.25">
      <c r="A74" s="20"/>
      <c r="B74" s="20"/>
      <c r="C74" s="20"/>
      <c r="D74" s="21" t="s">
        <v>1</v>
      </c>
      <c r="E74" s="21" t="s">
        <v>2</v>
      </c>
      <c r="F74" s="21" t="s">
        <v>3</v>
      </c>
      <c r="G74" s="21" t="s">
        <v>4</v>
      </c>
      <c r="H74" s="21" t="s">
        <v>5</v>
      </c>
      <c r="I74" s="21" t="s">
        <v>6</v>
      </c>
      <c r="J74" s="21" t="s">
        <v>7</v>
      </c>
      <c r="K74" s="21" t="s">
        <v>8</v>
      </c>
      <c r="L74" s="21" t="s">
        <v>9</v>
      </c>
      <c r="M74" s="21" t="s">
        <v>10</v>
      </c>
      <c r="N74" s="21" t="s">
        <v>11</v>
      </c>
      <c r="O74" s="22" t="s">
        <v>12</v>
      </c>
      <c r="P74" s="21" t="s">
        <v>13</v>
      </c>
      <c r="Q74" s="22" t="s">
        <v>14</v>
      </c>
      <c r="R74" s="21" t="s">
        <v>15</v>
      </c>
      <c r="S74" s="22" t="s">
        <v>16</v>
      </c>
      <c r="T74" s="21" t="s">
        <v>17</v>
      </c>
      <c r="U74" s="22" t="s">
        <v>18</v>
      </c>
      <c r="V74" s="21" t="s">
        <v>19</v>
      </c>
      <c r="W74" s="21" t="s">
        <v>20</v>
      </c>
    </row>
    <row r="75" spans="1:23" ht="13.9" customHeight="1" x14ac:dyDescent="0.25">
      <c r="A75" s="12" t="s">
        <v>21</v>
      </c>
      <c r="B75" s="35">
        <v>111</v>
      </c>
      <c r="C75" s="35" t="s">
        <v>22</v>
      </c>
      <c r="D75" s="71">
        <f t="shared" ref="D75:N75" si="52">D120</f>
        <v>946857.87</v>
      </c>
      <c r="E75" s="71">
        <f t="shared" si="52"/>
        <v>1489256.4100000004</v>
      </c>
      <c r="F75" s="71">
        <f t="shared" si="52"/>
        <v>1876891</v>
      </c>
      <c r="G75" s="71">
        <f t="shared" si="52"/>
        <v>1266175</v>
      </c>
      <c r="H75" s="71">
        <f t="shared" si="52"/>
        <v>2079025</v>
      </c>
      <c r="I75" s="71">
        <f t="shared" si="52"/>
        <v>30939</v>
      </c>
      <c r="J75" s="71">
        <f t="shared" si="52"/>
        <v>0</v>
      </c>
      <c r="K75" s="71">
        <f t="shared" si="52"/>
        <v>0</v>
      </c>
      <c r="L75" s="71">
        <f t="shared" si="52"/>
        <v>0</v>
      </c>
      <c r="M75" s="71">
        <f t="shared" si="52"/>
        <v>2109964</v>
      </c>
      <c r="N75" s="71">
        <f t="shared" si="52"/>
        <v>410847.48</v>
      </c>
      <c r="O75" s="72">
        <f>IFERROR(N75/$M75,0)</f>
        <v>0.19471776769651045</v>
      </c>
      <c r="P75" s="71">
        <f>P120</f>
        <v>0</v>
      </c>
      <c r="Q75" s="72">
        <f>IFERROR(P75/$M75,0)</f>
        <v>0</v>
      </c>
      <c r="R75" s="71">
        <f>R120</f>
        <v>0</v>
      </c>
      <c r="S75" s="72">
        <f>IFERROR(R75/$M75,0)</f>
        <v>0</v>
      </c>
      <c r="T75" s="71">
        <f>T120</f>
        <v>0</v>
      </c>
      <c r="U75" s="72">
        <f>IFERROR(T75/$M75,0)</f>
        <v>0</v>
      </c>
      <c r="V75" s="71">
        <f>V120</f>
        <v>1203821</v>
      </c>
      <c r="W75" s="71">
        <f>W120</f>
        <v>1206776</v>
      </c>
    </row>
    <row r="76" spans="1:23" ht="13.9" customHeight="1" x14ac:dyDescent="0.25">
      <c r="A76" s="12" t="s">
        <v>21</v>
      </c>
      <c r="B76" s="35">
        <v>71</v>
      </c>
      <c r="C76" s="35" t="s">
        <v>24</v>
      </c>
      <c r="D76" s="36">
        <f t="shared" ref="D76:N76" si="53">D123</f>
        <v>3000</v>
      </c>
      <c r="E76" s="36">
        <f t="shared" si="53"/>
        <v>3000</v>
      </c>
      <c r="F76" s="36">
        <f t="shared" si="53"/>
        <v>3000</v>
      </c>
      <c r="G76" s="36">
        <f t="shared" si="53"/>
        <v>3000</v>
      </c>
      <c r="H76" s="36">
        <f t="shared" si="53"/>
        <v>9000</v>
      </c>
      <c r="I76" s="36">
        <f t="shared" si="53"/>
        <v>0</v>
      </c>
      <c r="J76" s="36">
        <f t="shared" si="53"/>
        <v>0</v>
      </c>
      <c r="K76" s="36">
        <f t="shared" si="53"/>
        <v>0</v>
      </c>
      <c r="L76" s="36">
        <f t="shared" si="53"/>
        <v>0</v>
      </c>
      <c r="M76" s="36">
        <f t="shared" si="53"/>
        <v>9000</v>
      </c>
      <c r="N76" s="36">
        <f t="shared" si="53"/>
        <v>0</v>
      </c>
      <c r="O76" s="37">
        <f>IFERROR(N76/$M76,0)</f>
        <v>0</v>
      </c>
      <c r="P76" s="36">
        <f>P123</f>
        <v>0</v>
      </c>
      <c r="Q76" s="37">
        <f>IFERROR(P76/$M76,0)</f>
        <v>0</v>
      </c>
      <c r="R76" s="36">
        <f>R123</f>
        <v>0</v>
      </c>
      <c r="S76" s="37">
        <f>IFERROR(R76/$M76,0)</f>
        <v>0</v>
      </c>
      <c r="T76" s="36">
        <f>T123</f>
        <v>0</v>
      </c>
      <c r="U76" s="37">
        <f>IFERROR(T76/$M76,0)</f>
        <v>0</v>
      </c>
      <c r="V76" s="36">
        <f>V123</f>
        <v>3000</v>
      </c>
      <c r="W76" s="36">
        <f>W123</f>
        <v>3000</v>
      </c>
    </row>
    <row r="77" spans="1:23" ht="13.9" customHeight="1" x14ac:dyDescent="0.25">
      <c r="A77" s="12" t="s">
        <v>21</v>
      </c>
      <c r="B77" s="35">
        <v>72</v>
      </c>
      <c r="C77" s="35" t="s">
        <v>25</v>
      </c>
      <c r="D77" s="36">
        <f t="shared" ref="D77:N77" si="54">D125</f>
        <v>4347.1400000000003</v>
      </c>
      <c r="E77" s="36">
        <f t="shared" si="54"/>
        <v>5986.24</v>
      </c>
      <c r="F77" s="36">
        <f t="shared" si="54"/>
        <v>0</v>
      </c>
      <c r="G77" s="36">
        <f t="shared" si="54"/>
        <v>11</v>
      </c>
      <c r="H77" s="36">
        <f t="shared" si="54"/>
        <v>2000</v>
      </c>
      <c r="I77" s="36">
        <f t="shared" si="54"/>
        <v>0</v>
      </c>
      <c r="J77" s="36">
        <f t="shared" si="54"/>
        <v>0</v>
      </c>
      <c r="K77" s="36">
        <f t="shared" si="54"/>
        <v>0</v>
      </c>
      <c r="L77" s="36">
        <f t="shared" si="54"/>
        <v>0</v>
      </c>
      <c r="M77" s="36">
        <f t="shared" si="54"/>
        <v>2000</v>
      </c>
      <c r="N77" s="36">
        <f t="shared" si="54"/>
        <v>0</v>
      </c>
      <c r="O77" s="37">
        <f>IFERROR(N77/$M77,0)</f>
        <v>0</v>
      </c>
      <c r="P77" s="36">
        <f>P125</f>
        <v>0</v>
      </c>
      <c r="Q77" s="37">
        <f>IFERROR(P77/$M77,0)</f>
        <v>0</v>
      </c>
      <c r="R77" s="36">
        <f>R125</f>
        <v>0</v>
      </c>
      <c r="S77" s="37">
        <f>IFERROR(R77/$M77,0)</f>
        <v>0</v>
      </c>
      <c r="T77" s="36">
        <f>T125</f>
        <v>0</v>
      </c>
      <c r="U77" s="37">
        <f>IFERROR(T77/$M77,0)</f>
        <v>0</v>
      </c>
      <c r="V77" s="36">
        <f>V125</f>
        <v>2000</v>
      </c>
      <c r="W77" s="36">
        <f>W125</f>
        <v>2000</v>
      </c>
    </row>
    <row r="78" spans="1:23" ht="13.9" customHeight="1" x14ac:dyDescent="0.25">
      <c r="A78" s="30"/>
      <c r="B78" s="31"/>
      <c r="C78" s="38" t="s">
        <v>29</v>
      </c>
      <c r="D78" s="39">
        <f t="shared" ref="D78:N78" si="55">SUM(D75:D77)</f>
        <v>954205.01</v>
      </c>
      <c r="E78" s="39">
        <f t="shared" si="55"/>
        <v>1498242.6500000004</v>
      </c>
      <c r="F78" s="39">
        <f t="shared" si="55"/>
        <v>1879891</v>
      </c>
      <c r="G78" s="39">
        <f t="shared" si="55"/>
        <v>1269186</v>
      </c>
      <c r="H78" s="39">
        <f t="shared" si="55"/>
        <v>2090025</v>
      </c>
      <c r="I78" s="39">
        <f t="shared" si="55"/>
        <v>30939</v>
      </c>
      <c r="J78" s="39">
        <f t="shared" si="55"/>
        <v>0</v>
      </c>
      <c r="K78" s="39">
        <f t="shared" si="55"/>
        <v>0</v>
      </c>
      <c r="L78" s="39">
        <f t="shared" si="55"/>
        <v>0</v>
      </c>
      <c r="M78" s="39">
        <f t="shared" si="55"/>
        <v>2120964</v>
      </c>
      <c r="N78" s="39">
        <f t="shared" si="55"/>
        <v>410847.48</v>
      </c>
      <c r="O78" s="40">
        <f>IFERROR(N78/$M78,0)</f>
        <v>0.19370789886108392</v>
      </c>
      <c r="P78" s="39">
        <f>SUM(P75:P77)</f>
        <v>0</v>
      </c>
      <c r="Q78" s="40">
        <f>IFERROR(P78/$M78,0)</f>
        <v>0</v>
      </c>
      <c r="R78" s="39">
        <f>SUM(R75:R77)</f>
        <v>0</v>
      </c>
      <c r="S78" s="40">
        <f>IFERROR(R78/$M78,0)</f>
        <v>0</v>
      </c>
      <c r="T78" s="39">
        <f>SUM(T75:T77)</f>
        <v>0</v>
      </c>
      <c r="U78" s="40">
        <f>IFERROR(T78/$M78,0)</f>
        <v>0</v>
      </c>
      <c r="V78" s="39">
        <f>SUM(V75:V77)</f>
        <v>1208821</v>
      </c>
      <c r="W78" s="39">
        <f>SUM(W75:W77)</f>
        <v>1211776</v>
      </c>
    </row>
    <row r="80" spans="1:23" ht="13.9" customHeight="1" x14ac:dyDescent="0.25">
      <c r="A80" s="73" t="s">
        <v>67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3"/>
      <c r="Q80" s="73"/>
      <c r="R80" s="73"/>
      <c r="S80" s="73"/>
      <c r="T80" s="73"/>
      <c r="U80" s="73"/>
      <c r="V80" s="73"/>
      <c r="W80" s="73"/>
    </row>
    <row r="81" spans="1:23" ht="13.9" customHeight="1" x14ac:dyDescent="0.25">
      <c r="A81" s="21" t="s">
        <v>32</v>
      </c>
      <c r="B81" s="21" t="s">
        <v>33</v>
      </c>
      <c r="C81" s="21" t="s">
        <v>34</v>
      </c>
      <c r="D81" s="21" t="s">
        <v>1</v>
      </c>
      <c r="E81" s="21" t="s">
        <v>2</v>
      </c>
      <c r="F81" s="21" t="s">
        <v>3</v>
      </c>
      <c r="G81" s="21" t="s">
        <v>4</v>
      </c>
      <c r="H81" s="21" t="s">
        <v>5</v>
      </c>
      <c r="I81" s="21" t="s">
        <v>6</v>
      </c>
      <c r="J81" s="21" t="s">
        <v>7</v>
      </c>
      <c r="K81" s="21" t="s">
        <v>8</v>
      </c>
      <c r="L81" s="21" t="s">
        <v>9</v>
      </c>
      <c r="M81" s="21" t="s">
        <v>10</v>
      </c>
      <c r="N81" s="21" t="s">
        <v>11</v>
      </c>
      <c r="O81" s="22" t="s">
        <v>12</v>
      </c>
      <c r="P81" s="21" t="s">
        <v>13</v>
      </c>
      <c r="Q81" s="22" t="s">
        <v>14</v>
      </c>
      <c r="R81" s="21" t="s">
        <v>15</v>
      </c>
      <c r="S81" s="22" t="s">
        <v>16</v>
      </c>
      <c r="T81" s="21" t="s">
        <v>17</v>
      </c>
      <c r="U81" s="22" t="s">
        <v>18</v>
      </c>
      <c r="V81" s="21" t="s">
        <v>19</v>
      </c>
      <c r="W81" s="21" t="s">
        <v>20</v>
      </c>
    </row>
    <row r="82" spans="1:23" ht="13.9" customHeight="1" x14ac:dyDescent="0.25">
      <c r="A82" s="11" t="s">
        <v>68</v>
      </c>
      <c r="B82" s="24">
        <v>311</v>
      </c>
      <c r="C82" s="24" t="s">
        <v>69</v>
      </c>
      <c r="D82" s="75">
        <v>0</v>
      </c>
      <c r="E82" s="75">
        <v>16648</v>
      </c>
      <c r="F82" s="75">
        <v>0</v>
      </c>
      <c r="G82" s="75">
        <v>0</v>
      </c>
      <c r="H82" s="75">
        <v>0</v>
      </c>
      <c r="I82" s="75"/>
      <c r="J82" s="75"/>
      <c r="K82" s="75"/>
      <c r="L82" s="75"/>
      <c r="M82" s="75">
        <f t="shared" ref="M82:M119" si="56">H82+SUM(I82:L82)</f>
        <v>0</v>
      </c>
      <c r="N82" s="75">
        <v>0</v>
      </c>
      <c r="O82" s="76">
        <f t="shared" ref="O82:O125" si="57">IFERROR(N82/$M82,0)</f>
        <v>0</v>
      </c>
      <c r="P82" s="75"/>
      <c r="Q82" s="76">
        <f t="shared" ref="Q82:Q125" si="58">IFERROR(P82/$M82,0)</f>
        <v>0</v>
      </c>
      <c r="R82" s="75"/>
      <c r="S82" s="76">
        <f t="shared" ref="S82:S125" si="59">IFERROR(R82/$M82,0)</f>
        <v>0</v>
      </c>
      <c r="T82" s="75"/>
      <c r="U82" s="76">
        <f t="shared" ref="U82:U125" si="60">IFERROR(T82/$M82,0)</f>
        <v>0</v>
      </c>
      <c r="V82" s="77">
        <f t="shared" ref="V82:V90" si="61">H82</f>
        <v>0</v>
      </c>
      <c r="W82" s="77">
        <f t="shared" ref="W82:W90" si="62">V82</f>
        <v>0</v>
      </c>
    </row>
    <row r="83" spans="1:23" ht="13.9" customHeight="1" x14ac:dyDescent="0.25">
      <c r="A83" s="11"/>
      <c r="B83" s="24">
        <v>312001</v>
      </c>
      <c r="C83" s="24" t="s">
        <v>70</v>
      </c>
      <c r="D83" s="75">
        <v>572208</v>
      </c>
      <c r="E83" s="75">
        <v>677361</v>
      </c>
      <c r="F83" s="75">
        <v>614500</v>
      </c>
      <c r="G83" s="75">
        <v>669400</v>
      </c>
      <c r="H83" s="75">
        <v>648560</v>
      </c>
      <c r="I83" s="75">
        <v>16856</v>
      </c>
      <c r="J83" s="75"/>
      <c r="K83" s="75"/>
      <c r="L83" s="75"/>
      <c r="M83" s="75">
        <f t="shared" si="56"/>
        <v>665416</v>
      </c>
      <c r="N83" s="75">
        <v>166504</v>
      </c>
      <c r="O83" s="76">
        <f t="shared" si="57"/>
        <v>0.25022542289334793</v>
      </c>
      <c r="P83" s="75"/>
      <c r="Q83" s="76">
        <f t="shared" si="58"/>
        <v>0</v>
      </c>
      <c r="R83" s="75"/>
      <c r="S83" s="76">
        <f t="shared" si="59"/>
        <v>0</v>
      </c>
      <c r="T83" s="75"/>
      <c r="U83" s="76">
        <f t="shared" si="60"/>
        <v>0</v>
      </c>
      <c r="V83" s="77">
        <f t="shared" si="61"/>
        <v>648560</v>
      </c>
      <c r="W83" s="77">
        <f t="shared" si="62"/>
        <v>648560</v>
      </c>
    </row>
    <row r="84" spans="1:23" ht="13.9" customHeight="1" x14ac:dyDescent="0.25">
      <c r="A84" s="11"/>
      <c r="B84" s="24">
        <v>312001</v>
      </c>
      <c r="C84" s="24" t="s">
        <v>71</v>
      </c>
      <c r="D84" s="75">
        <v>2220</v>
      </c>
      <c r="E84" s="75">
        <v>1250</v>
      </c>
      <c r="F84" s="75">
        <v>1250</v>
      </c>
      <c r="G84" s="75">
        <v>650</v>
      </c>
      <c r="H84" s="75">
        <v>1250</v>
      </c>
      <c r="I84" s="75"/>
      <c r="J84" s="75"/>
      <c r="K84" s="75"/>
      <c r="L84" s="75"/>
      <c r="M84" s="75">
        <f t="shared" si="56"/>
        <v>1250</v>
      </c>
      <c r="N84" s="75">
        <v>300</v>
      </c>
      <c r="O84" s="76">
        <f t="shared" si="57"/>
        <v>0.24</v>
      </c>
      <c r="P84" s="75"/>
      <c r="Q84" s="76">
        <f t="shared" si="58"/>
        <v>0</v>
      </c>
      <c r="R84" s="75"/>
      <c r="S84" s="76">
        <f t="shared" si="59"/>
        <v>0</v>
      </c>
      <c r="T84" s="75"/>
      <c r="U84" s="76">
        <f t="shared" si="60"/>
        <v>0</v>
      </c>
      <c r="V84" s="77">
        <f t="shared" si="61"/>
        <v>1250</v>
      </c>
      <c r="W84" s="77">
        <f t="shared" si="62"/>
        <v>1250</v>
      </c>
    </row>
    <row r="85" spans="1:23" ht="13.9" customHeight="1" x14ac:dyDescent="0.25">
      <c r="A85" s="11"/>
      <c r="B85" s="24">
        <v>312001</v>
      </c>
      <c r="C85" s="24" t="s">
        <v>72</v>
      </c>
      <c r="D85" s="75">
        <v>19805</v>
      </c>
      <c r="E85" s="75">
        <v>23002</v>
      </c>
      <c r="F85" s="75">
        <v>24768</v>
      </c>
      <c r="G85" s="75">
        <v>43952</v>
      </c>
      <c r="H85" s="75">
        <v>51372</v>
      </c>
      <c r="I85" s="75"/>
      <c r="J85" s="75"/>
      <c r="K85" s="75"/>
      <c r="L85" s="75"/>
      <c r="M85" s="75">
        <f t="shared" si="56"/>
        <v>51372</v>
      </c>
      <c r="N85" s="75">
        <v>51732</v>
      </c>
      <c r="O85" s="76">
        <f t="shared" si="57"/>
        <v>1.0070077084793272</v>
      </c>
      <c r="P85" s="75"/>
      <c r="Q85" s="76">
        <f t="shared" si="58"/>
        <v>0</v>
      </c>
      <c r="R85" s="75"/>
      <c r="S85" s="76">
        <f t="shared" si="59"/>
        <v>0</v>
      </c>
      <c r="T85" s="75"/>
      <c r="U85" s="76">
        <f t="shared" si="60"/>
        <v>0</v>
      </c>
      <c r="V85" s="77">
        <f t="shared" si="61"/>
        <v>51372</v>
      </c>
      <c r="W85" s="77">
        <f t="shared" si="62"/>
        <v>51372</v>
      </c>
    </row>
    <row r="86" spans="1:23" ht="13.9" customHeight="1" x14ac:dyDescent="0.25">
      <c r="A86" s="11"/>
      <c r="B86" s="24">
        <v>312001</v>
      </c>
      <c r="C86" s="24" t="s">
        <v>73</v>
      </c>
      <c r="D86" s="75">
        <v>6938</v>
      </c>
      <c r="E86" s="75">
        <v>6893</v>
      </c>
      <c r="F86" s="75">
        <v>6880</v>
      </c>
      <c r="G86" s="75">
        <v>6925</v>
      </c>
      <c r="H86" s="75">
        <v>6880</v>
      </c>
      <c r="I86" s="75"/>
      <c r="J86" s="75"/>
      <c r="K86" s="75"/>
      <c r="L86" s="75"/>
      <c r="M86" s="75">
        <f t="shared" si="56"/>
        <v>6880</v>
      </c>
      <c r="N86" s="75">
        <v>2083</v>
      </c>
      <c r="O86" s="76">
        <f t="shared" si="57"/>
        <v>0.30276162790697675</v>
      </c>
      <c r="P86" s="75"/>
      <c r="Q86" s="76">
        <f t="shared" si="58"/>
        <v>0</v>
      </c>
      <c r="R86" s="75"/>
      <c r="S86" s="76">
        <f t="shared" si="59"/>
        <v>0</v>
      </c>
      <c r="T86" s="75"/>
      <c r="U86" s="76">
        <f t="shared" si="60"/>
        <v>0</v>
      </c>
      <c r="V86" s="77">
        <f t="shared" si="61"/>
        <v>6880</v>
      </c>
      <c r="W86" s="77">
        <f t="shared" si="62"/>
        <v>6880</v>
      </c>
    </row>
    <row r="87" spans="1:23" ht="13.9" customHeight="1" x14ac:dyDescent="0.25">
      <c r="A87" s="11"/>
      <c r="B87" s="24">
        <v>312001</v>
      </c>
      <c r="C87" s="24" t="s">
        <v>74</v>
      </c>
      <c r="D87" s="75">
        <v>5787.6</v>
      </c>
      <c r="E87" s="75">
        <v>41022.800000000003</v>
      </c>
      <c r="F87" s="75">
        <v>71250</v>
      </c>
      <c r="G87" s="75">
        <v>69303</v>
      </c>
      <c r="H87" s="75">
        <v>71250</v>
      </c>
      <c r="I87" s="75"/>
      <c r="J87" s="75"/>
      <c r="K87" s="75"/>
      <c r="L87" s="75"/>
      <c r="M87" s="75">
        <f t="shared" si="56"/>
        <v>71250</v>
      </c>
      <c r="N87" s="75">
        <v>52284.5</v>
      </c>
      <c r="O87" s="76">
        <f t="shared" si="57"/>
        <v>0.73381754385964915</v>
      </c>
      <c r="P87" s="75"/>
      <c r="Q87" s="76">
        <f t="shared" si="58"/>
        <v>0</v>
      </c>
      <c r="R87" s="75"/>
      <c r="S87" s="76">
        <f t="shared" si="59"/>
        <v>0</v>
      </c>
      <c r="T87" s="75"/>
      <c r="U87" s="76">
        <f t="shared" si="60"/>
        <v>0</v>
      </c>
      <c r="V87" s="77">
        <f t="shared" si="61"/>
        <v>71250</v>
      </c>
      <c r="W87" s="77">
        <f t="shared" si="62"/>
        <v>71250</v>
      </c>
    </row>
    <row r="88" spans="1:23" ht="13.9" customHeight="1" x14ac:dyDescent="0.25">
      <c r="A88" s="11"/>
      <c r="B88" s="24">
        <v>312001</v>
      </c>
      <c r="C88" s="24" t="s">
        <v>75</v>
      </c>
      <c r="D88" s="75">
        <v>415</v>
      </c>
      <c r="E88" s="75">
        <v>315.39999999999998</v>
      </c>
      <c r="F88" s="75">
        <v>415</v>
      </c>
      <c r="G88" s="75">
        <v>199</v>
      </c>
      <c r="H88" s="75">
        <v>415</v>
      </c>
      <c r="I88" s="75"/>
      <c r="J88" s="75"/>
      <c r="K88" s="75"/>
      <c r="L88" s="75"/>
      <c r="M88" s="75">
        <f t="shared" si="56"/>
        <v>415</v>
      </c>
      <c r="N88" s="75">
        <v>66.400000000000006</v>
      </c>
      <c r="O88" s="76">
        <f t="shared" si="57"/>
        <v>0.16</v>
      </c>
      <c r="P88" s="75"/>
      <c r="Q88" s="76">
        <f t="shared" si="58"/>
        <v>0</v>
      </c>
      <c r="R88" s="75"/>
      <c r="S88" s="76">
        <f t="shared" si="59"/>
        <v>0</v>
      </c>
      <c r="T88" s="75"/>
      <c r="U88" s="76">
        <f t="shared" si="60"/>
        <v>0</v>
      </c>
      <c r="V88" s="77">
        <f t="shared" si="61"/>
        <v>415</v>
      </c>
      <c r="W88" s="77">
        <f t="shared" si="62"/>
        <v>415</v>
      </c>
    </row>
    <row r="89" spans="1:23" ht="13.9" customHeight="1" x14ac:dyDescent="0.25">
      <c r="A89" s="11"/>
      <c r="B89" s="24">
        <v>312001</v>
      </c>
      <c r="C89" s="24" t="s">
        <v>76</v>
      </c>
      <c r="D89" s="75">
        <f>9960+14756+376+450</f>
        <v>25542</v>
      </c>
      <c r="E89" s="75">
        <v>30417.64</v>
      </c>
      <c r="F89" s="75">
        <v>8750</v>
      </c>
      <c r="G89" s="75">
        <v>20372</v>
      </c>
      <c r="H89" s="75">
        <v>31630</v>
      </c>
      <c r="I89" s="75"/>
      <c r="J89" s="75"/>
      <c r="K89" s="75"/>
      <c r="L89" s="75"/>
      <c r="M89" s="75">
        <f t="shared" si="56"/>
        <v>31630</v>
      </c>
      <c r="N89" s="75">
        <v>21812</v>
      </c>
      <c r="O89" s="76">
        <f t="shared" si="57"/>
        <v>0.68959848245336708</v>
      </c>
      <c r="P89" s="75"/>
      <c r="Q89" s="76">
        <f t="shared" si="58"/>
        <v>0</v>
      </c>
      <c r="R89" s="75"/>
      <c r="S89" s="76">
        <f t="shared" si="59"/>
        <v>0</v>
      </c>
      <c r="T89" s="75"/>
      <c r="U89" s="76">
        <f t="shared" si="60"/>
        <v>0</v>
      </c>
      <c r="V89" s="77">
        <f t="shared" si="61"/>
        <v>31630</v>
      </c>
      <c r="W89" s="77">
        <f t="shared" si="62"/>
        <v>31630</v>
      </c>
    </row>
    <row r="90" spans="1:23" ht="13.9" customHeight="1" x14ac:dyDescent="0.25">
      <c r="A90" s="11"/>
      <c r="B90" s="24">
        <v>312001</v>
      </c>
      <c r="C90" s="24" t="s">
        <v>77</v>
      </c>
      <c r="D90" s="75">
        <v>0</v>
      </c>
      <c r="E90" s="75">
        <v>0</v>
      </c>
      <c r="F90" s="75">
        <v>0</v>
      </c>
      <c r="G90" s="75">
        <v>287</v>
      </c>
      <c r="H90" s="75">
        <v>0</v>
      </c>
      <c r="I90" s="75"/>
      <c r="J90" s="75"/>
      <c r="K90" s="75"/>
      <c r="L90" s="75"/>
      <c r="M90" s="75">
        <f t="shared" si="56"/>
        <v>0</v>
      </c>
      <c r="N90" s="75">
        <v>0</v>
      </c>
      <c r="O90" s="76">
        <f t="shared" si="57"/>
        <v>0</v>
      </c>
      <c r="P90" s="75"/>
      <c r="Q90" s="76">
        <f t="shared" si="58"/>
        <v>0</v>
      </c>
      <c r="R90" s="75"/>
      <c r="S90" s="76">
        <f t="shared" si="59"/>
        <v>0</v>
      </c>
      <c r="T90" s="75"/>
      <c r="U90" s="76">
        <f t="shared" si="60"/>
        <v>0</v>
      </c>
      <c r="V90" s="77">
        <f t="shared" si="61"/>
        <v>0</v>
      </c>
      <c r="W90" s="77">
        <f t="shared" si="62"/>
        <v>0</v>
      </c>
    </row>
    <row r="91" spans="1:23" ht="13.9" customHeight="1" x14ac:dyDescent="0.25">
      <c r="A91" s="11"/>
      <c r="B91" s="24">
        <v>312001</v>
      </c>
      <c r="C91" s="24" t="s">
        <v>78</v>
      </c>
      <c r="D91" s="75">
        <v>0</v>
      </c>
      <c r="E91" s="75">
        <v>0</v>
      </c>
      <c r="F91" s="75">
        <v>34575</v>
      </c>
      <c r="G91" s="75">
        <v>31656</v>
      </c>
      <c r="H91" s="75">
        <v>15432</v>
      </c>
      <c r="I91" s="75"/>
      <c r="J91" s="75"/>
      <c r="K91" s="75"/>
      <c r="L91" s="75"/>
      <c r="M91" s="75">
        <f t="shared" si="56"/>
        <v>15432</v>
      </c>
      <c r="N91" s="75">
        <v>2572</v>
      </c>
      <c r="O91" s="76">
        <f t="shared" si="57"/>
        <v>0.16666666666666666</v>
      </c>
      <c r="P91" s="75"/>
      <c r="Q91" s="76">
        <f t="shared" si="58"/>
        <v>0</v>
      </c>
      <c r="R91" s="75"/>
      <c r="S91" s="76">
        <f t="shared" si="59"/>
        <v>0</v>
      </c>
      <c r="T91" s="75"/>
      <c r="U91" s="76">
        <f t="shared" si="60"/>
        <v>0</v>
      </c>
      <c r="V91" s="77">
        <v>0</v>
      </c>
      <c r="W91" s="77">
        <v>0</v>
      </c>
    </row>
    <row r="92" spans="1:23" ht="13.9" hidden="1" customHeight="1" x14ac:dyDescent="0.25">
      <c r="A92" s="11"/>
      <c r="B92" s="24">
        <v>312001</v>
      </c>
      <c r="C92" s="24" t="s">
        <v>79</v>
      </c>
      <c r="D92" s="75">
        <v>15975</v>
      </c>
      <c r="E92" s="75">
        <v>22348</v>
      </c>
      <c r="F92" s="75">
        <v>17612</v>
      </c>
      <c r="G92" s="75">
        <v>33226</v>
      </c>
      <c r="H92" s="75">
        <v>0</v>
      </c>
      <c r="I92" s="75"/>
      <c r="J92" s="75"/>
      <c r="K92" s="75"/>
      <c r="L92" s="75"/>
      <c r="M92" s="75">
        <f t="shared" si="56"/>
        <v>0</v>
      </c>
      <c r="N92" s="75"/>
      <c r="O92" s="76">
        <f t="shared" si="57"/>
        <v>0</v>
      </c>
      <c r="P92" s="75"/>
      <c r="Q92" s="76">
        <f t="shared" si="58"/>
        <v>0</v>
      </c>
      <c r="R92" s="75"/>
      <c r="S92" s="76">
        <f t="shared" si="59"/>
        <v>0</v>
      </c>
      <c r="T92" s="75"/>
      <c r="U92" s="76">
        <f t="shared" si="60"/>
        <v>0</v>
      </c>
      <c r="V92" s="77">
        <f>H92</f>
        <v>0</v>
      </c>
      <c r="W92" s="77">
        <f>V92</f>
        <v>0</v>
      </c>
    </row>
    <row r="93" spans="1:23" ht="13.9" customHeight="1" x14ac:dyDescent="0.25">
      <c r="A93" s="11"/>
      <c r="B93" s="24">
        <v>312001</v>
      </c>
      <c r="C93" s="24" t="s">
        <v>80</v>
      </c>
      <c r="D93" s="75">
        <v>0</v>
      </c>
      <c r="E93" s="75">
        <v>0</v>
      </c>
      <c r="F93" s="75">
        <v>0</v>
      </c>
      <c r="G93" s="75">
        <v>0</v>
      </c>
      <c r="H93" s="75">
        <v>315254</v>
      </c>
      <c r="I93" s="75">
        <v>10193</v>
      </c>
      <c r="J93" s="75"/>
      <c r="K93" s="75"/>
      <c r="L93" s="75"/>
      <c r="M93" s="75">
        <f t="shared" si="56"/>
        <v>325447</v>
      </c>
      <c r="N93" s="75">
        <v>82837</v>
      </c>
      <c r="O93" s="76">
        <f t="shared" si="57"/>
        <v>0.25453299615605612</v>
      </c>
      <c r="P93" s="75"/>
      <c r="Q93" s="76">
        <f t="shared" si="58"/>
        <v>0</v>
      </c>
      <c r="R93" s="75"/>
      <c r="S93" s="76">
        <f t="shared" si="59"/>
        <v>0</v>
      </c>
      <c r="T93" s="75"/>
      <c r="U93" s="76">
        <f t="shared" si="60"/>
        <v>0</v>
      </c>
      <c r="V93" s="77">
        <v>268877</v>
      </c>
      <c r="W93" s="77">
        <v>274977</v>
      </c>
    </row>
    <row r="94" spans="1:23" ht="13.9" customHeight="1" x14ac:dyDescent="0.25">
      <c r="A94" s="11"/>
      <c r="B94" s="24">
        <v>312001</v>
      </c>
      <c r="C94" s="24" t="s">
        <v>81</v>
      </c>
      <c r="D94" s="75">
        <v>0</v>
      </c>
      <c r="E94" s="75">
        <v>0</v>
      </c>
      <c r="F94" s="75">
        <v>0</v>
      </c>
      <c r="G94" s="75">
        <v>0</v>
      </c>
      <c r="H94" s="75">
        <f>25686+4860</f>
        <v>30546</v>
      </c>
      <c r="I94" s="75"/>
      <c r="J94" s="75"/>
      <c r="K94" s="75"/>
      <c r="L94" s="75"/>
      <c r="M94" s="75">
        <f t="shared" si="56"/>
        <v>30546</v>
      </c>
      <c r="N94" s="75">
        <v>0</v>
      </c>
      <c r="O94" s="76">
        <f t="shared" si="57"/>
        <v>0</v>
      </c>
      <c r="P94" s="75"/>
      <c r="Q94" s="76">
        <f t="shared" si="58"/>
        <v>0</v>
      </c>
      <c r="R94" s="75"/>
      <c r="S94" s="76">
        <f t="shared" si="59"/>
        <v>0</v>
      </c>
      <c r="T94" s="75"/>
      <c r="U94" s="76">
        <f t="shared" si="60"/>
        <v>0</v>
      </c>
      <c r="V94" s="77">
        <f>H94</f>
        <v>30546</v>
      </c>
      <c r="W94" s="77">
        <f>V94</f>
        <v>30546</v>
      </c>
    </row>
    <row r="95" spans="1:23" ht="13.9" customHeight="1" x14ac:dyDescent="0.25">
      <c r="A95" s="11"/>
      <c r="B95" s="24">
        <v>312001</v>
      </c>
      <c r="C95" s="24" t="s">
        <v>82</v>
      </c>
      <c r="D95" s="75">
        <v>7879.27</v>
      </c>
      <c r="E95" s="75">
        <v>9209.2999999999993</v>
      </c>
      <c r="F95" s="75">
        <v>2880</v>
      </c>
      <c r="G95" s="75">
        <v>3420</v>
      </c>
      <c r="H95" s="75">
        <v>3600</v>
      </c>
      <c r="I95" s="75"/>
      <c r="J95" s="75"/>
      <c r="K95" s="75"/>
      <c r="L95" s="75"/>
      <c r="M95" s="75">
        <f t="shared" si="56"/>
        <v>3600</v>
      </c>
      <c r="N95" s="75">
        <v>900</v>
      </c>
      <c r="O95" s="76">
        <f t="shared" si="57"/>
        <v>0.25</v>
      </c>
      <c r="P95" s="75"/>
      <c r="Q95" s="76">
        <f t="shared" si="58"/>
        <v>0</v>
      </c>
      <c r="R95" s="75"/>
      <c r="S95" s="76">
        <f t="shared" si="59"/>
        <v>0</v>
      </c>
      <c r="T95" s="75"/>
      <c r="U95" s="76">
        <f t="shared" si="60"/>
        <v>0</v>
      </c>
      <c r="V95" s="77">
        <f>H95</f>
        <v>3600</v>
      </c>
      <c r="W95" s="77">
        <f>V95</f>
        <v>3600</v>
      </c>
    </row>
    <row r="96" spans="1:23" ht="13.9" hidden="1" customHeight="1" x14ac:dyDescent="0.25">
      <c r="A96" s="11"/>
      <c r="B96" s="24">
        <v>312001</v>
      </c>
      <c r="C96" s="24" t="s">
        <v>83</v>
      </c>
      <c r="D96" s="75">
        <v>5697.82</v>
      </c>
      <c r="E96" s="75">
        <v>3232.62</v>
      </c>
      <c r="F96" s="75">
        <v>4500</v>
      </c>
      <c r="G96" s="75">
        <v>7643</v>
      </c>
      <c r="H96" s="75">
        <v>0</v>
      </c>
      <c r="I96" s="75"/>
      <c r="J96" s="75"/>
      <c r="K96" s="75"/>
      <c r="L96" s="75"/>
      <c r="M96" s="75">
        <f t="shared" si="56"/>
        <v>0</v>
      </c>
      <c r="N96" s="75"/>
      <c r="O96" s="76">
        <f t="shared" si="57"/>
        <v>0</v>
      </c>
      <c r="P96" s="75"/>
      <c r="Q96" s="76">
        <f t="shared" si="58"/>
        <v>0</v>
      </c>
      <c r="R96" s="75"/>
      <c r="S96" s="76">
        <f t="shared" si="59"/>
        <v>0</v>
      </c>
      <c r="T96" s="75"/>
      <c r="U96" s="76">
        <f t="shared" si="60"/>
        <v>0</v>
      </c>
      <c r="V96" s="77">
        <v>7645</v>
      </c>
      <c r="W96" s="77">
        <v>4500</v>
      </c>
    </row>
    <row r="97" spans="1:23" ht="13.9" customHeight="1" x14ac:dyDescent="0.25">
      <c r="A97" s="11"/>
      <c r="B97" s="24">
        <v>312001</v>
      </c>
      <c r="C97" s="24" t="s">
        <v>84</v>
      </c>
      <c r="D97" s="75">
        <f>50112+4234.33+3600</f>
        <v>57946.33</v>
      </c>
      <c r="E97" s="75">
        <f>45574.27+16000</f>
        <v>61574.27</v>
      </c>
      <c r="F97" s="75">
        <v>57120</v>
      </c>
      <c r="G97" s="75">
        <v>57120</v>
      </c>
      <c r="H97" s="75">
        <v>72936</v>
      </c>
      <c r="I97" s="75"/>
      <c r="J97" s="75"/>
      <c r="K97" s="75"/>
      <c r="L97" s="75"/>
      <c r="M97" s="75">
        <f t="shared" si="56"/>
        <v>72936</v>
      </c>
      <c r="N97" s="75">
        <v>17984.22</v>
      </c>
      <c r="O97" s="76">
        <f t="shared" si="57"/>
        <v>0.24657535373478121</v>
      </c>
      <c r="P97" s="75"/>
      <c r="Q97" s="76">
        <f t="shared" si="58"/>
        <v>0</v>
      </c>
      <c r="R97" s="75"/>
      <c r="S97" s="76">
        <f t="shared" si="59"/>
        <v>0</v>
      </c>
      <c r="T97" s="75"/>
      <c r="U97" s="76">
        <f t="shared" si="60"/>
        <v>0</v>
      </c>
      <c r="V97" s="77">
        <f>H97</f>
        <v>72936</v>
      </c>
      <c r="W97" s="77">
        <f t="shared" ref="W97:W110" si="63">V97</f>
        <v>72936</v>
      </c>
    </row>
    <row r="98" spans="1:23" ht="13.9" hidden="1" customHeight="1" x14ac:dyDescent="0.25">
      <c r="A98" s="11"/>
      <c r="B98" s="24">
        <v>312001</v>
      </c>
      <c r="C98" s="24" t="s">
        <v>85</v>
      </c>
      <c r="D98" s="75">
        <v>6454.99</v>
      </c>
      <c r="E98" s="75">
        <v>1835.3</v>
      </c>
      <c r="F98" s="75">
        <v>0</v>
      </c>
      <c r="G98" s="75">
        <v>0</v>
      </c>
      <c r="H98" s="75">
        <v>0</v>
      </c>
      <c r="I98" s="75"/>
      <c r="J98" s="75"/>
      <c r="K98" s="75"/>
      <c r="L98" s="75"/>
      <c r="M98" s="75">
        <f t="shared" si="56"/>
        <v>0</v>
      </c>
      <c r="N98" s="75"/>
      <c r="O98" s="76">
        <f t="shared" si="57"/>
        <v>0</v>
      </c>
      <c r="P98" s="75"/>
      <c r="Q98" s="76">
        <f t="shared" si="58"/>
        <v>0</v>
      </c>
      <c r="R98" s="75"/>
      <c r="S98" s="76">
        <f t="shared" si="59"/>
        <v>0</v>
      </c>
      <c r="T98" s="75"/>
      <c r="U98" s="76">
        <f t="shared" si="60"/>
        <v>0</v>
      </c>
      <c r="V98" s="75">
        <f>výdaje!Y341</f>
        <v>0</v>
      </c>
      <c r="W98" s="77">
        <f t="shared" si="63"/>
        <v>0</v>
      </c>
    </row>
    <row r="99" spans="1:23" ht="13.9" hidden="1" customHeight="1" x14ac:dyDescent="0.25">
      <c r="A99" s="11"/>
      <c r="B99" s="24">
        <v>312001</v>
      </c>
      <c r="C99" s="24" t="s">
        <v>86</v>
      </c>
      <c r="D99" s="75">
        <v>0</v>
      </c>
      <c r="E99" s="75">
        <v>18765.39</v>
      </c>
      <c r="F99" s="75">
        <v>6255</v>
      </c>
      <c r="G99" s="75">
        <v>7671</v>
      </c>
      <c r="H99" s="75">
        <v>0</v>
      </c>
      <c r="I99" s="75"/>
      <c r="J99" s="75"/>
      <c r="K99" s="75"/>
      <c r="L99" s="75"/>
      <c r="M99" s="75">
        <f t="shared" si="56"/>
        <v>0</v>
      </c>
      <c r="N99" s="75"/>
      <c r="O99" s="76">
        <f t="shared" si="57"/>
        <v>0</v>
      </c>
      <c r="P99" s="75"/>
      <c r="Q99" s="76">
        <f t="shared" si="58"/>
        <v>0</v>
      </c>
      <c r="R99" s="75"/>
      <c r="S99" s="76">
        <f t="shared" si="59"/>
        <v>0</v>
      </c>
      <c r="T99" s="75"/>
      <c r="U99" s="76">
        <f t="shared" si="60"/>
        <v>0</v>
      </c>
      <c r="V99" s="75">
        <v>0</v>
      </c>
      <c r="W99" s="77">
        <f t="shared" si="63"/>
        <v>0</v>
      </c>
    </row>
    <row r="100" spans="1:23" ht="13.9" customHeight="1" x14ac:dyDescent="0.25">
      <c r="A100" s="11"/>
      <c r="B100" s="24">
        <v>312001</v>
      </c>
      <c r="C100" s="24" t="s">
        <v>87</v>
      </c>
      <c r="D100" s="75">
        <v>22985.5</v>
      </c>
      <c r="E100" s="75">
        <v>53518</v>
      </c>
      <c r="F100" s="75">
        <v>4000</v>
      </c>
      <c r="G100" s="75">
        <v>49716</v>
      </c>
      <c r="H100" s="75">
        <v>0</v>
      </c>
      <c r="I100" s="75">
        <v>3816</v>
      </c>
      <c r="J100" s="75"/>
      <c r="K100" s="75"/>
      <c r="L100" s="75"/>
      <c r="M100" s="75">
        <f t="shared" si="56"/>
        <v>3816</v>
      </c>
      <c r="N100" s="75">
        <v>3816</v>
      </c>
      <c r="O100" s="76">
        <f t="shared" si="57"/>
        <v>1</v>
      </c>
      <c r="P100" s="75"/>
      <c r="Q100" s="76">
        <f t="shared" si="58"/>
        <v>0</v>
      </c>
      <c r="R100" s="75"/>
      <c r="S100" s="76">
        <f t="shared" si="59"/>
        <v>0</v>
      </c>
      <c r="T100" s="75"/>
      <c r="U100" s="76">
        <f t="shared" si="60"/>
        <v>0</v>
      </c>
      <c r="V100" s="75">
        <v>0</v>
      </c>
      <c r="W100" s="77">
        <f t="shared" si="63"/>
        <v>0</v>
      </c>
    </row>
    <row r="101" spans="1:23" ht="13.9" hidden="1" customHeight="1" x14ac:dyDescent="0.25">
      <c r="A101" s="11"/>
      <c r="B101" s="24">
        <v>312001</v>
      </c>
      <c r="C101" s="24" t="s">
        <v>88</v>
      </c>
      <c r="D101" s="75">
        <v>0</v>
      </c>
      <c r="E101" s="75">
        <v>59800</v>
      </c>
      <c r="F101" s="75">
        <v>0</v>
      </c>
      <c r="G101" s="75">
        <v>0</v>
      </c>
      <c r="H101" s="75">
        <v>0</v>
      </c>
      <c r="I101" s="75"/>
      <c r="J101" s="75"/>
      <c r="K101" s="75"/>
      <c r="L101" s="75"/>
      <c r="M101" s="75">
        <f t="shared" si="56"/>
        <v>0</v>
      </c>
      <c r="N101" s="75"/>
      <c r="O101" s="76">
        <f t="shared" si="57"/>
        <v>0</v>
      </c>
      <c r="P101" s="75"/>
      <c r="Q101" s="76">
        <f t="shared" si="58"/>
        <v>0</v>
      </c>
      <c r="R101" s="75"/>
      <c r="S101" s="76">
        <f t="shared" si="59"/>
        <v>0</v>
      </c>
      <c r="T101" s="75"/>
      <c r="U101" s="76">
        <f t="shared" si="60"/>
        <v>0</v>
      </c>
      <c r="V101" s="75">
        <v>0</v>
      </c>
      <c r="W101" s="77">
        <f t="shared" si="63"/>
        <v>0</v>
      </c>
    </row>
    <row r="102" spans="1:23" ht="13.9" hidden="1" customHeight="1" x14ac:dyDescent="0.25">
      <c r="A102" s="11"/>
      <c r="B102" s="24">
        <v>312001</v>
      </c>
      <c r="C102" s="24" t="s">
        <v>89</v>
      </c>
      <c r="D102" s="75">
        <v>0</v>
      </c>
      <c r="E102" s="75">
        <v>40900.31</v>
      </c>
      <c r="F102" s="75">
        <v>0</v>
      </c>
      <c r="G102" s="75">
        <v>24494</v>
      </c>
      <c r="H102" s="75">
        <v>0</v>
      </c>
      <c r="I102" s="75"/>
      <c r="J102" s="75"/>
      <c r="K102" s="75"/>
      <c r="L102" s="75"/>
      <c r="M102" s="75">
        <f t="shared" si="56"/>
        <v>0</v>
      </c>
      <c r="N102" s="75"/>
      <c r="O102" s="76">
        <f t="shared" si="57"/>
        <v>0</v>
      </c>
      <c r="P102" s="75"/>
      <c r="Q102" s="76">
        <f t="shared" si="58"/>
        <v>0</v>
      </c>
      <c r="R102" s="75"/>
      <c r="S102" s="76">
        <f t="shared" si="59"/>
        <v>0</v>
      </c>
      <c r="T102" s="75"/>
      <c r="U102" s="76">
        <f t="shared" si="60"/>
        <v>0</v>
      </c>
      <c r="V102" s="75">
        <v>0</v>
      </c>
      <c r="W102" s="77">
        <f t="shared" si="63"/>
        <v>0</v>
      </c>
    </row>
    <row r="103" spans="1:23" ht="13.9" customHeight="1" x14ac:dyDescent="0.25">
      <c r="A103" s="11"/>
      <c r="B103" s="24">
        <v>312001</v>
      </c>
      <c r="C103" s="24" t="s">
        <v>90</v>
      </c>
      <c r="D103" s="75">
        <v>0</v>
      </c>
      <c r="E103" s="75">
        <v>0</v>
      </c>
      <c r="F103" s="75">
        <v>0</v>
      </c>
      <c r="G103" s="75">
        <v>214</v>
      </c>
      <c r="H103" s="75">
        <v>214</v>
      </c>
      <c r="I103" s="75"/>
      <c r="J103" s="75"/>
      <c r="K103" s="75"/>
      <c r="L103" s="75"/>
      <c r="M103" s="75">
        <f t="shared" si="56"/>
        <v>214</v>
      </c>
      <c r="N103" s="75">
        <v>106.8</v>
      </c>
      <c r="O103" s="76">
        <f t="shared" si="57"/>
        <v>0.49906542056074765</v>
      </c>
      <c r="P103" s="75"/>
      <c r="Q103" s="76">
        <f t="shared" si="58"/>
        <v>0</v>
      </c>
      <c r="R103" s="75"/>
      <c r="S103" s="76">
        <f t="shared" si="59"/>
        <v>0</v>
      </c>
      <c r="T103" s="75"/>
      <c r="U103" s="76">
        <f t="shared" si="60"/>
        <v>0</v>
      </c>
      <c r="V103" s="75">
        <f>H103</f>
        <v>214</v>
      </c>
      <c r="W103" s="77">
        <f t="shared" si="63"/>
        <v>214</v>
      </c>
    </row>
    <row r="104" spans="1:23" ht="13.9" hidden="1" customHeight="1" x14ac:dyDescent="0.25">
      <c r="A104" s="11"/>
      <c r="B104" s="24">
        <v>312012</v>
      </c>
      <c r="C104" s="24" t="s">
        <v>91</v>
      </c>
      <c r="D104" s="75">
        <v>1349.5</v>
      </c>
      <c r="E104" s="75">
        <v>0</v>
      </c>
      <c r="F104" s="75">
        <v>0</v>
      </c>
      <c r="G104" s="75">
        <v>0</v>
      </c>
      <c r="H104" s="75">
        <v>0</v>
      </c>
      <c r="I104" s="75"/>
      <c r="J104" s="75"/>
      <c r="K104" s="75"/>
      <c r="L104" s="75"/>
      <c r="M104" s="75">
        <f t="shared" si="56"/>
        <v>0</v>
      </c>
      <c r="N104" s="75"/>
      <c r="O104" s="76">
        <f t="shared" si="57"/>
        <v>0</v>
      </c>
      <c r="P104" s="75"/>
      <c r="Q104" s="76">
        <f t="shared" si="58"/>
        <v>0</v>
      </c>
      <c r="R104" s="75"/>
      <c r="S104" s="76">
        <f t="shared" si="59"/>
        <v>0</v>
      </c>
      <c r="T104" s="75"/>
      <c r="U104" s="76">
        <f t="shared" si="60"/>
        <v>0</v>
      </c>
      <c r="V104" s="75">
        <v>0</v>
      </c>
      <c r="W104" s="77">
        <f t="shared" si="63"/>
        <v>0</v>
      </c>
    </row>
    <row r="105" spans="1:23" ht="13.9" hidden="1" customHeight="1" x14ac:dyDescent="0.25">
      <c r="A105" s="11"/>
      <c r="B105" s="24">
        <v>312012</v>
      </c>
      <c r="C105" s="24" t="s">
        <v>92</v>
      </c>
      <c r="D105" s="75">
        <v>4116.1499999999996</v>
      </c>
      <c r="E105" s="75">
        <v>4829.17</v>
      </c>
      <c r="F105" s="75">
        <v>4829</v>
      </c>
      <c r="G105" s="75">
        <v>0</v>
      </c>
      <c r="H105" s="75">
        <v>0</v>
      </c>
      <c r="I105" s="75"/>
      <c r="J105" s="75"/>
      <c r="K105" s="75"/>
      <c r="L105" s="75"/>
      <c r="M105" s="75">
        <f t="shared" si="56"/>
        <v>0</v>
      </c>
      <c r="N105" s="75"/>
      <c r="O105" s="76">
        <f t="shared" si="57"/>
        <v>0</v>
      </c>
      <c r="P105" s="75"/>
      <c r="Q105" s="76">
        <f t="shared" si="58"/>
        <v>0</v>
      </c>
      <c r="R105" s="75"/>
      <c r="S105" s="76">
        <f t="shared" si="59"/>
        <v>0</v>
      </c>
      <c r="T105" s="75"/>
      <c r="U105" s="76">
        <f t="shared" si="60"/>
        <v>0</v>
      </c>
      <c r="V105" s="77">
        <f t="shared" ref="V105:V110" si="64">H105</f>
        <v>0</v>
      </c>
      <c r="W105" s="77">
        <f t="shared" si="63"/>
        <v>0</v>
      </c>
    </row>
    <row r="106" spans="1:23" ht="13.9" customHeight="1" x14ac:dyDescent="0.25">
      <c r="A106" s="11"/>
      <c r="B106" s="24">
        <v>312012</v>
      </c>
      <c r="C106" s="24" t="s">
        <v>93</v>
      </c>
      <c r="D106" s="75">
        <v>137.29</v>
      </c>
      <c r="E106" s="75">
        <v>137.55000000000001</v>
      </c>
      <c r="F106" s="75">
        <v>138</v>
      </c>
      <c r="G106" s="75">
        <v>139</v>
      </c>
      <c r="H106" s="75">
        <v>139</v>
      </c>
      <c r="I106" s="75"/>
      <c r="J106" s="75"/>
      <c r="K106" s="75"/>
      <c r="L106" s="75"/>
      <c r="M106" s="75">
        <f t="shared" si="56"/>
        <v>139</v>
      </c>
      <c r="N106" s="75">
        <v>0</v>
      </c>
      <c r="O106" s="76">
        <f t="shared" si="57"/>
        <v>0</v>
      </c>
      <c r="P106" s="75"/>
      <c r="Q106" s="76">
        <f t="shared" si="58"/>
        <v>0</v>
      </c>
      <c r="R106" s="75"/>
      <c r="S106" s="76">
        <f t="shared" si="59"/>
        <v>0</v>
      </c>
      <c r="T106" s="75"/>
      <c r="U106" s="76">
        <f t="shared" si="60"/>
        <v>0</v>
      </c>
      <c r="V106" s="77">
        <f t="shared" si="64"/>
        <v>139</v>
      </c>
      <c r="W106" s="77">
        <f t="shared" si="63"/>
        <v>139</v>
      </c>
    </row>
    <row r="107" spans="1:23" ht="13.9" customHeight="1" x14ac:dyDescent="0.25">
      <c r="A107" s="11"/>
      <c r="B107" s="24">
        <v>312012</v>
      </c>
      <c r="C107" s="24" t="s">
        <v>94</v>
      </c>
      <c r="D107" s="75">
        <v>318.27</v>
      </c>
      <c r="E107" s="75">
        <v>352.33</v>
      </c>
      <c r="F107" s="75">
        <v>352</v>
      </c>
      <c r="G107" s="75">
        <v>390</v>
      </c>
      <c r="H107" s="75">
        <v>390</v>
      </c>
      <c r="I107" s="75">
        <v>30</v>
      </c>
      <c r="J107" s="75"/>
      <c r="K107" s="75"/>
      <c r="L107" s="75"/>
      <c r="M107" s="75">
        <f t="shared" si="56"/>
        <v>420</v>
      </c>
      <c r="N107" s="75">
        <v>0</v>
      </c>
      <c r="O107" s="76">
        <f t="shared" si="57"/>
        <v>0</v>
      </c>
      <c r="P107" s="75"/>
      <c r="Q107" s="76">
        <f t="shared" si="58"/>
        <v>0</v>
      </c>
      <c r="R107" s="75"/>
      <c r="S107" s="76">
        <f t="shared" si="59"/>
        <v>0</v>
      </c>
      <c r="T107" s="75"/>
      <c r="U107" s="76">
        <f t="shared" si="60"/>
        <v>0</v>
      </c>
      <c r="V107" s="77">
        <f t="shared" si="64"/>
        <v>390</v>
      </c>
      <c r="W107" s="77">
        <f t="shared" si="63"/>
        <v>390</v>
      </c>
    </row>
    <row r="108" spans="1:23" ht="13.9" customHeight="1" x14ac:dyDescent="0.25">
      <c r="A108" s="11"/>
      <c r="B108" s="24">
        <v>312012</v>
      </c>
      <c r="C108" s="24" t="s">
        <v>95</v>
      </c>
      <c r="D108" s="75">
        <v>5546.76</v>
      </c>
      <c r="E108" s="75">
        <v>6082.83</v>
      </c>
      <c r="F108" s="75">
        <v>6083</v>
      </c>
      <c r="G108" s="75">
        <v>6707</v>
      </c>
      <c r="H108" s="75">
        <v>6707</v>
      </c>
      <c r="I108" s="75">
        <v>52</v>
      </c>
      <c r="J108" s="75"/>
      <c r="K108" s="75"/>
      <c r="L108" s="75"/>
      <c r="M108" s="75">
        <f t="shared" si="56"/>
        <v>6759</v>
      </c>
      <c r="N108" s="75">
        <v>6759.46</v>
      </c>
      <c r="O108" s="76">
        <f t="shared" si="57"/>
        <v>1.0000680574049416</v>
      </c>
      <c r="P108" s="75"/>
      <c r="Q108" s="76">
        <f t="shared" si="58"/>
        <v>0</v>
      </c>
      <c r="R108" s="75"/>
      <c r="S108" s="76">
        <f t="shared" si="59"/>
        <v>0</v>
      </c>
      <c r="T108" s="75"/>
      <c r="U108" s="76">
        <f t="shared" si="60"/>
        <v>0</v>
      </c>
      <c r="V108" s="77">
        <f t="shared" si="64"/>
        <v>6707</v>
      </c>
      <c r="W108" s="77">
        <f t="shared" si="63"/>
        <v>6707</v>
      </c>
    </row>
    <row r="109" spans="1:23" ht="13.9" customHeight="1" x14ac:dyDescent="0.25">
      <c r="A109" s="11"/>
      <c r="B109" s="24">
        <v>312012</v>
      </c>
      <c r="C109" s="24" t="s">
        <v>96</v>
      </c>
      <c r="D109" s="75">
        <v>1084.3399999999999</v>
      </c>
      <c r="E109" s="75">
        <v>1094.32</v>
      </c>
      <c r="F109" s="75">
        <v>1094</v>
      </c>
      <c r="G109" s="75">
        <v>1098</v>
      </c>
      <c r="H109" s="75">
        <v>1098</v>
      </c>
      <c r="I109" s="75">
        <v>-8</v>
      </c>
      <c r="J109" s="75"/>
      <c r="K109" s="75"/>
      <c r="L109" s="75"/>
      <c r="M109" s="75">
        <f t="shared" si="56"/>
        <v>1090</v>
      </c>
      <c r="N109" s="75">
        <v>1090.0999999999999</v>
      </c>
      <c r="O109" s="76">
        <f t="shared" si="57"/>
        <v>1.000091743119266</v>
      </c>
      <c r="P109" s="75"/>
      <c r="Q109" s="76">
        <f t="shared" si="58"/>
        <v>0</v>
      </c>
      <c r="R109" s="75"/>
      <c r="S109" s="76">
        <f t="shared" si="59"/>
        <v>0</v>
      </c>
      <c r="T109" s="75"/>
      <c r="U109" s="76">
        <f t="shared" si="60"/>
        <v>0</v>
      </c>
      <c r="V109" s="77">
        <f t="shared" si="64"/>
        <v>1098</v>
      </c>
      <c r="W109" s="77">
        <f t="shared" si="63"/>
        <v>1098</v>
      </c>
    </row>
    <row r="110" spans="1:23" ht="13.9" customHeight="1" x14ac:dyDescent="0.25">
      <c r="A110" s="11"/>
      <c r="B110" s="24">
        <v>312012</v>
      </c>
      <c r="C110" s="24" t="s">
        <v>97</v>
      </c>
      <c r="D110" s="75">
        <v>311.89</v>
      </c>
      <c r="E110" s="75">
        <v>6035.42</v>
      </c>
      <c r="F110" s="75">
        <v>312</v>
      </c>
      <c r="G110" s="75">
        <v>312</v>
      </c>
      <c r="H110" s="75">
        <v>312</v>
      </c>
      <c r="I110" s="75"/>
      <c r="J110" s="75"/>
      <c r="K110" s="75"/>
      <c r="L110" s="75"/>
      <c r="M110" s="75">
        <f t="shared" si="56"/>
        <v>312</v>
      </c>
      <c r="N110" s="75">
        <v>0</v>
      </c>
      <c r="O110" s="76">
        <f t="shared" si="57"/>
        <v>0</v>
      </c>
      <c r="P110" s="75"/>
      <c r="Q110" s="76">
        <f t="shared" si="58"/>
        <v>0</v>
      </c>
      <c r="R110" s="75"/>
      <c r="S110" s="76">
        <f t="shared" si="59"/>
        <v>0</v>
      </c>
      <c r="T110" s="75"/>
      <c r="U110" s="76">
        <f t="shared" si="60"/>
        <v>0</v>
      </c>
      <c r="V110" s="77">
        <f t="shared" si="64"/>
        <v>312</v>
      </c>
      <c r="W110" s="77">
        <f t="shared" si="63"/>
        <v>312</v>
      </c>
    </row>
    <row r="111" spans="1:23" ht="13.9" hidden="1" customHeight="1" x14ac:dyDescent="0.25">
      <c r="A111" s="11"/>
      <c r="B111" s="24">
        <v>322001</v>
      </c>
      <c r="C111" s="24" t="s">
        <v>98</v>
      </c>
      <c r="D111" s="75">
        <v>184139.16</v>
      </c>
      <c r="E111" s="75">
        <v>0</v>
      </c>
      <c r="F111" s="75">
        <v>0</v>
      </c>
      <c r="G111" s="75">
        <v>0</v>
      </c>
      <c r="H111" s="75">
        <v>0</v>
      </c>
      <c r="I111" s="75"/>
      <c r="J111" s="75"/>
      <c r="K111" s="75"/>
      <c r="L111" s="75"/>
      <c r="M111" s="75">
        <f t="shared" si="56"/>
        <v>0</v>
      </c>
      <c r="N111" s="75"/>
      <c r="O111" s="76">
        <f t="shared" si="57"/>
        <v>0</v>
      </c>
      <c r="P111" s="75"/>
      <c r="Q111" s="76">
        <f t="shared" si="58"/>
        <v>0</v>
      </c>
      <c r="R111" s="75"/>
      <c r="S111" s="76">
        <f t="shared" si="59"/>
        <v>0</v>
      </c>
      <c r="T111" s="75"/>
      <c r="U111" s="76">
        <f t="shared" si="60"/>
        <v>0</v>
      </c>
      <c r="V111" s="77">
        <v>0</v>
      </c>
      <c r="W111" s="77">
        <v>0</v>
      </c>
    </row>
    <row r="112" spans="1:23" ht="13.9" hidden="1" customHeight="1" x14ac:dyDescent="0.25">
      <c r="A112" s="11"/>
      <c r="B112" s="24">
        <v>322001</v>
      </c>
      <c r="C112" s="24" t="s">
        <v>99</v>
      </c>
      <c r="D112" s="77">
        <v>0</v>
      </c>
      <c r="E112" s="77">
        <v>247170.43</v>
      </c>
      <c r="F112" s="77">
        <v>250000</v>
      </c>
      <c r="G112" s="77">
        <v>0</v>
      </c>
      <c r="H112" s="77">
        <v>0</v>
      </c>
      <c r="I112" s="77"/>
      <c r="J112" s="77"/>
      <c r="K112" s="77"/>
      <c r="L112" s="77"/>
      <c r="M112" s="77">
        <f t="shared" si="56"/>
        <v>0</v>
      </c>
      <c r="N112" s="77"/>
      <c r="O112" s="78">
        <f t="shared" si="57"/>
        <v>0</v>
      </c>
      <c r="P112" s="77"/>
      <c r="Q112" s="78">
        <f t="shared" si="58"/>
        <v>0</v>
      </c>
      <c r="R112" s="77"/>
      <c r="S112" s="78">
        <f t="shared" si="59"/>
        <v>0</v>
      </c>
      <c r="T112" s="77"/>
      <c r="U112" s="78">
        <f t="shared" si="60"/>
        <v>0</v>
      </c>
      <c r="V112" s="77">
        <v>0</v>
      </c>
      <c r="W112" s="77">
        <v>0</v>
      </c>
    </row>
    <row r="113" spans="1:23" ht="13.9" hidden="1" customHeight="1" x14ac:dyDescent="0.25">
      <c r="A113" s="11"/>
      <c r="B113" s="24">
        <v>322001</v>
      </c>
      <c r="C113" s="24" t="s">
        <v>100</v>
      </c>
      <c r="D113" s="77">
        <v>0</v>
      </c>
      <c r="E113" s="77">
        <v>0</v>
      </c>
      <c r="F113" s="77">
        <v>304000</v>
      </c>
      <c r="G113" s="77">
        <v>0</v>
      </c>
      <c r="H113" s="77">
        <v>0</v>
      </c>
      <c r="I113" s="77"/>
      <c r="J113" s="77"/>
      <c r="K113" s="77"/>
      <c r="L113" s="77"/>
      <c r="M113" s="77">
        <f t="shared" si="56"/>
        <v>0</v>
      </c>
      <c r="N113" s="77"/>
      <c r="O113" s="78">
        <f t="shared" si="57"/>
        <v>0</v>
      </c>
      <c r="P113" s="77"/>
      <c r="Q113" s="78">
        <f t="shared" si="58"/>
        <v>0</v>
      </c>
      <c r="R113" s="77"/>
      <c r="S113" s="78">
        <f t="shared" si="59"/>
        <v>0</v>
      </c>
      <c r="T113" s="77"/>
      <c r="U113" s="78">
        <f t="shared" si="60"/>
        <v>0</v>
      </c>
      <c r="V113" s="77">
        <v>0</v>
      </c>
      <c r="W113" s="77">
        <v>0</v>
      </c>
    </row>
    <row r="114" spans="1:23" ht="13.9" customHeight="1" x14ac:dyDescent="0.25">
      <c r="A114" s="11"/>
      <c r="B114" s="24">
        <v>322001</v>
      </c>
      <c r="C114" s="24" t="s">
        <v>101</v>
      </c>
      <c r="D114" s="77">
        <v>0</v>
      </c>
      <c r="E114" s="77">
        <v>0</v>
      </c>
      <c r="F114" s="77">
        <v>0</v>
      </c>
      <c r="G114" s="77">
        <v>0</v>
      </c>
      <c r="H114" s="77">
        <v>138109</v>
      </c>
      <c r="I114" s="77"/>
      <c r="J114" s="77"/>
      <c r="K114" s="77"/>
      <c r="L114" s="77"/>
      <c r="M114" s="77">
        <f t="shared" si="56"/>
        <v>138109</v>
      </c>
      <c r="N114" s="77">
        <v>0</v>
      </c>
      <c r="O114" s="78">
        <f t="shared" si="57"/>
        <v>0</v>
      </c>
      <c r="P114" s="77"/>
      <c r="Q114" s="78">
        <f t="shared" si="58"/>
        <v>0</v>
      </c>
      <c r="R114" s="77"/>
      <c r="S114" s="78">
        <f t="shared" si="59"/>
        <v>0</v>
      </c>
      <c r="T114" s="77"/>
      <c r="U114" s="78">
        <f t="shared" si="60"/>
        <v>0</v>
      </c>
      <c r="V114" s="77">
        <v>0</v>
      </c>
      <c r="W114" s="77">
        <v>0</v>
      </c>
    </row>
    <row r="115" spans="1:23" ht="13.9" hidden="1" customHeight="1" x14ac:dyDescent="0.25">
      <c r="A115" s="11"/>
      <c r="B115" s="24">
        <v>322001</v>
      </c>
      <c r="C115" s="24" t="s">
        <v>102</v>
      </c>
      <c r="D115" s="77">
        <v>0</v>
      </c>
      <c r="E115" s="77">
        <v>0</v>
      </c>
      <c r="F115" s="77">
        <v>46828</v>
      </c>
      <c r="G115" s="77">
        <v>46092</v>
      </c>
      <c r="H115" s="77">
        <v>0</v>
      </c>
      <c r="I115" s="77"/>
      <c r="J115" s="77"/>
      <c r="K115" s="77"/>
      <c r="L115" s="77"/>
      <c r="M115" s="77">
        <f t="shared" si="56"/>
        <v>0</v>
      </c>
      <c r="N115" s="77"/>
      <c r="O115" s="78">
        <f t="shared" si="57"/>
        <v>0</v>
      </c>
      <c r="P115" s="77"/>
      <c r="Q115" s="78">
        <f t="shared" si="58"/>
        <v>0</v>
      </c>
      <c r="R115" s="77"/>
      <c r="S115" s="78">
        <f t="shared" si="59"/>
        <v>0</v>
      </c>
      <c r="T115" s="77"/>
      <c r="U115" s="78">
        <f t="shared" si="60"/>
        <v>0</v>
      </c>
      <c r="V115" s="77">
        <v>0</v>
      </c>
      <c r="W115" s="77">
        <v>0</v>
      </c>
    </row>
    <row r="116" spans="1:23" ht="13.9" customHeight="1" x14ac:dyDescent="0.25">
      <c r="A116" s="11"/>
      <c r="B116" s="24">
        <v>322001</v>
      </c>
      <c r="C116" s="24" t="s">
        <v>103</v>
      </c>
      <c r="D116" s="77">
        <v>0</v>
      </c>
      <c r="E116" s="77">
        <v>0</v>
      </c>
      <c r="F116" s="77">
        <v>0</v>
      </c>
      <c r="G116" s="77">
        <v>0</v>
      </c>
      <c r="H116" s="77">
        <v>14850</v>
      </c>
      <c r="I116" s="77"/>
      <c r="J116" s="77"/>
      <c r="K116" s="77"/>
      <c r="L116" s="77"/>
      <c r="M116" s="77">
        <f t="shared" si="56"/>
        <v>14850</v>
      </c>
      <c r="N116" s="77">
        <v>0</v>
      </c>
      <c r="O116" s="78">
        <f t="shared" si="57"/>
        <v>0</v>
      </c>
      <c r="P116" s="77"/>
      <c r="Q116" s="78">
        <f t="shared" si="58"/>
        <v>0</v>
      </c>
      <c r="R116" s="77"/>
      <c r="S116" s="78">
        <f t="shared" si="59"/>
        <v>0</v>
      </c>
      <c r="T116" s="77"/>
      <c r="U116" s="78">
        <f t="shared" si="60"/>
        <v>0</v>
      </c>
      <c r="V116" s="77">
        <v>0</v>
      </c>
      <c r="W116" s="77">
        <v>0</v>
      </c>
    </row>
    <row r="117" spans="1:23" ht="13.9" customHeight="1" x14ac:dyDescent="0.25">
      <c r="A117" s="11"/>
      <c r="B117" s="24">
        <v>322001</v>
      </c>
      <c r="C117" s="24" t="s">
        <v>104</v>
      </c>
      <c r="D117" s="77">
        <v>0</v>
      </c>
      <c r="E117" s="77">
        <v>0</v>
      </c>
      <c r="F117" s="77">
        <v>0</v>
      </c>
      <c r="G117" s="77">
        <v>0</v>
      </c>
      <c r="H117" s="77">
        <v>409438</v>
      </c>
      <c r="I117" s="77"/>
      <c r="J117" s="77"/>
      <c r="K117" s="77"/>
      <c r="L117" s="77"/>
      <c r="M117" s="77">
        <f t="shared" si="56"/>
        <v>409438</v>
      </c>
      <c r="N117" s="77">
        <v>0</v>
      </c>
      <c r="O117" s="78">
        <f t="shared" si="57"/>
        <v>0</v>
      </c>
      <c r="P117" s="77"/>
      <c r="Q117" s="78">
        <f t="shared" si="58"/>
        <v>0</v>
      </c>
      <c r="R117" s="77"/>
      <c r="S117" s="78">
        <f t="shared" si="59"/>
        <v>0</v>
      </c>
      <c r="T117" s="77"/>
      <c r="U117" s="78">
        <f t="shared" si="60"/>
        <v>0</v>
      </c>
      <c r="V117" s="77">
        <v>0</v>
      </c>
      <c r="W117" s="77">
        <v>0</v>
      </c>
    </row>
    <row r="118" spans="1:23" ht="13.9" hidden="1" customHeight="1" x14ac:dyDescent="0.25">
      <c r="A118" s="11"/>
      <c r="B118" s="24">
        <v>322001</v>
      </c>
      <c r="C118" s="24" t="s">
        <v>105</v>
      </c>
      <c r="D118" s="77">
        <v>0</v>
      </c>
      <c r="E118" s="77">
        <v>155461.32999999999</v>
      </c>
      <c r="F118" s="77">
        <v>0</v>
      </c>
      <c r="G118" s="77">
        <v>0</v>
      </c>
      <c r="H118" s="77">
        <v>0</v>
      </c>
      <c r="I118" s="77"/>
      <c r="J118" s="77"/>
      <c r="K118" s="77"/>
      <c r="L118" s="77"/>
      <c r="M118" s="77">
        <f t="shared" si="56"/>
        <v>0</v>
      </c>
      <c r="N118" s="77"/>
      <c r="O118" s="78">
        <f t="shared" si="57"/>
        <v>0</v>
      </c>
      <c r="P118" s="77"/>
      <c r="Q118" s="78">
        <f t="shared" si="58"/>
        <v>0</v>
      </c>
      <c r="R118" s="77"/>
      <c r="S118" s="78">
        <f t="shared" si="59"/>
        <v>0</v>
      </c>
      <c r="T118" s="77"/>
      <c r="U118" s="78">
        <f t="shared" si="60"/>
        <v>0</v>
      </c>
      <c r="V118" s="77">
        <v>0</v>
      </c>
      <c r="W118" s="77">
        <v>0</v>
      </c>
    </row>
    <row r="119" spans="1:23" ht="13.9" customHeight="1" x14ac:dyDescent="0.25">
      <c r="A119" s="11"/>
      <c r="B119" s="24">
        <v>322001</v>
      </c>
      <c r="C119" s="24" t="s">
        <v>106</v>
      </c>
      <c r="D119" s="77">
        <v>0</v>
      </c>
      <c r="E119" s="77">
        <v>0</v>
      </c>
      <c r="F119" s="77">
        <v>408500</v>
      </c>
      <c r="G119" s="77">
        <v>185189</v>
      </c>
      <c r="H119" s="77">
        <f>443831-7656-177532</f>
        <v>258643</v>
      </c>
      <c r="I119" s="77"/>
      <c r="J119" s="77"/>
      <c r="K119" s="77"/>
      <c r="L119" s="77"/>
      <c r="M119" s="77">
        <f t="shared" si="56"/>
        <v>258643</v>
      </c>
      <c r="N119" s="77">
        <v>0</v>
      </c>
      <c r="O119" s="78">
        <f t="shared" si="57"/>
        <v>0</v>
      </c>
      <c r="P119" s="77"/>
      <c r="Q119" s="78">
        <f t="shared" si="58"/>
        <v>0</v>
      </c>
      <c r="R119" s="77"/>
      <c r="S119" s="78">
        <f t="shared" si="59"/>
        <v>0</v>
      </c>
      <c r="T119" s="77"/>
      <c r="U119" s="78">
        <f t="shared" si="60"/>
        <v>0</v>
      </c>
      <c r="V119" s="77">
        <v>0</v>
      </c>
      <c r="W119" s="77">
        <v>0</v>
      </c>
    </row>
    <row r="120" spans="1:23" ht="13.9" customHeight="1" x14ac:dyDescent="0.25">
      <c r="A120" s="79" t="s">
        <v>107</v>
      </c>
      <c r="B120" s="48">
        <v>111</v>
      </c>
      <c r="C120" s="48" t="s">
        <v>22</v>
      </c>
      <c r="D120" s="49">
        <f t="shared" ref="D120:N120" si="65">SUM(D82:D119)</f>
        <v>946857.87</v>
      </c>
      <c r="E120" s="49">
        <f t="shared" si="65"/>
        <v>1489256.4100000004</v>
      </c>
      <c r="F120" s="49">
        <f t="shared" si="65"/>
        <v>1876891</v>
      </c>
      <c r="G120" s="49">
        <f t="shared" si="65"/>
        <v>1266175</v>
      </c>
      <c r="H120" s="49">
        <f t="shared" si="65"/>
        <v>2079025</v>
      </c>
      <c r="I120" s="49">
        <f t="shared" si="65"/>
        <v>30939</v>
      </c>
      <c r="J120" s="49">
        <f t="shared" si="65"/>
        <v>0</v>
      </c>
      <c r="K120" s="49">
        <f t="shared" si="65"/>
        <v>0</v>
      </c>
      <c r="L120" s="49">
        <f t="shared" si="65"/>
        <v>0</v>
      </c>
      <c r="M120" s="49">
        <f t="shared" si="65"/>
        <v>2109964</v>
      </c>
      <c r="N120" s="49">
        <f t="shared" si="65"/>
        <v>410847.48</v>
      </c>
      <c r="O120" s="50">
        <f t="shared" si="57"/>
        <v>0.19471776769651045</v>
      </c>
      <c r="P120" s="49">
        <f>SUM(P82:P119)</f>
        <v>0</v>
      </c>
      <c r="Q120" s="50">
        <f t="shared" si="58"/>
        <v>0</v>
      </c>
      <c r="R120" s="49">
        <f>SUM(R82:R119)</f>
        <v>0</v>
      </c>
      <c r="S120" s="50">
        <f t="shared" si="59"/>
        <v>0</v>
      </c>
      <c r="T120" s="49">
        <f>SUM(T82:T119)</f>
        <v>0</v>
      </c>
      <c r="U120" s="50">
        <f t="shared" si="60"/>
        <v>0</v>
      </c>
      <c r="V120" s="49">
        <f>SUM(V82:V119)</f>
        <v>1203821</v>
      </c>
      <c r="W120" s="49">
        <f>SUM(W82:W119)</f>
        <v>1206776</v>
      </c>
    </row>
    <row r="121" spans="1:23" ht="13.9" customHeight="1" x14ac:dyDescent="0.25">
      <c r="A121" s="11" t="s">
        <v>68</v>
      </c>
      <c r="B121" s="24">
        <v>311</v>
      </c>
      <c r="C121" s="24" t="s">
        <v>108</v>
      </c>
      <c r="D121" s="75">
        <v>3000</v>
      </c>
      <c r="E121" s="75">
        <v>3000</v>
      </c>
      <c r="F121" s="75">
        <v>3000</v>
      </c>
      <c r="G121" s="75">
        <v>3000</v>
      </c>
      <c r="H121" s="75">
        <v>3000</v>
      </c>
      <c r="I121" s="75"/>
      <c r="J121" s="75"/>
      <c r="K121" s="75"/>
      <c r="L121" s="75"/>
      <c r="M121" s="75">
        <f>H121+SUM(I121:L121)</f>
        <v>3000</v>
      </c>
      <c r="N121" s="75">
        <v>0</v>
      </c>
      <c r="O121" s="76">
        <f t="shared" si="57"/>
        <v>0</v>
      </c>
      <c r="P121" s="75"/>
      <c r="Q121" s="76">
        <f t="shared" si="58"/>
        <v>0</v>
      </c>
      <c r="R121" s="75"/>
      <c r="S121" s="76">
        <f t="shared" si="59"/>
        <v>0</v>
      </c>
      <c r="T121" s="75"/>
      <c r="U121" s="76">
        <f t="shared" si="60"/>
        <v>0</v>
      </c>
      <c r="V121" s="77">
        <v>3000</v>
      </c>
      <c r="W121" s="77">
        <f>V121</f>
        <v>3000</v>
      </c>
    </row>
    <row r="122" spans="1:23" ht="13.9" customHeight="1" x14ac:dyDescent="0.25">
      <c r="A122" s="11"/>
      <c r="B122" s="24">
        <v>321</v>
      </c>
      <c r="C122" s="24" t="s">
        <v>108</v>
      </c>
      <c r="D122" s="75"/>
      <c r="E122" s="75"/>
      <c r="F122" s="75"/>
      <c r="G122" s="75"/>
      <c r="H122" s="75">
        <v>6000</v>
      </c>
      <c r="I122" s="75"/>
      <c r="J122" s="75"/>
      <c r="K122" s="75"/>
      <c r="L122" s="75"/>
      <c r="M122" s="75">
        <f>H122+SUM(I122:L122)</f>
        <v>6000</v>
      </c>
      <c r="N122" s="75">
        <v>0</v>
      </c>
      <c r="O122" s="76">
        <f t="shared" si="57"/>
        <v>0</v>
      </c>
      <c r="P122" s="75"/>
      <c r="Q122" s="76">
        <f t="shared" si="58"/>
        <v>0</v>
      </c>
      <c r="R122" s="75"/>
      <c r="S122" s="76">
        <f t="shared" si="59"/>
        <v>0</v>
      </c>
      <c r="T122" s="75"/>
      <c r="U122" s="76">
        <f t="shared" si="60"/>
        <v>0</v>
      </c>
      <c r="V122" s="77"/>
      <c r="W122" s="77"/>
    </row>
    <row r="123" spans="1:23" ht="13.9" customHeight="1" x14ac:dyDescent="0.25">
      <c r="A123" s="79" t="s">
        <v>107</v>
      </c>
      <c r="B123" s="48">
        <v>71</v>
      </c>
      <c r="C123" s="48" t="s">
        <v>24</v>
      </c>
      <c r="D123" s="49">
        <f>SUM(D121)</f>
        <v>3000</v>
      </c>
      <c r="E123" s="49">
        <f>SUM(E121)</f>
        <v>3000</v>
      </c>
      <c r="F123" s="49">
        <f>SUM(F121)</f>
        <v>3000</v>
      </c>
      <c r="G123" s="49">
        <f>SUM(G121)</f>
        <v>3000</v>
      </c>
      <c r="H123" s="49">
        <f t="shared" ref="H123:N123" si="66">SUM(H121:H122)</f>
        <v>9000</v>
      </c>
      <c r="I123" s="49">
        <f t="shared" si="66"/>
        <v>0</v>
      </c>
      <c r="J123" s="49">
        <f t="shared" si="66"/>
        <v>0</v>
      </c>
      <c r="K123" s="49">
        <f t="shared" si="66"/>
        <v>0</v>
      </c>
      <c r="L123" s="49">
        <f t="shared" si="66"/>
        <v>0</v>
      </c>
      <c r="M123" s="49">
        <f t="shared" si="66"/>
        <v>9000</v>
      </c>
      <c r="N123" s="49">
        <f t="shared" si="66"/>
        <v>0</v>
      </c>
      <c r="O123" s="50">
        <f t="shared" si="57"/>
        <v>0</v>
      </c>
      <c r="P123" s="49">
        <f>SUM(P121:P122)</f>
        <v>0</v>
      </c>
      <c r="Q123" s="50">
        <f t="shared" si="58"/>
        <v>0</v>
      </c>
      <c r="R123" s="49">
        <f>SUM(R121:R122)</f>
        <v>0</v>
      </c>
      <c r="S123" s="50">
        <f t="shared" si="59"/>
        <v>0</v>
      </c>
      <c r="T123" s="49">
        <f>SUM(T121:T122)</f>
        <v>0</v>
      </c>
      <c r="U123" s="50">
        <f t="shared" si="60"/>
        <v>0</v>
      </c>
      <c r="V123" s="49">
        <f>SUM(V121)</f>
        <v>3000</v>
      </c>
      <c r="W123" s="49">
        <f>SUM(W121)</f>
        <v>3000</v>
      </c>
    </row>
    <row r="124" spans="1:23" ht="13.9" customHeight="1" x14ac:dyDescent="0.25">
      <c r="A124" s="51" t="s">
        <v>68</v>
      </c>
      <c r="B124" s="24">
        <v>311</v>
      </c>
      <c r="C124" s="24" t="s">
        <v>109</v>
      </c>
      <c r="D124" s="75">
        <v>4347.1400000000003</v>
      </c>
      <c r="E124" s="75">
        <v>5986.24</v>
      </c>
      <c r="F124" s="75">
        <v>0</v>
      </c>
      <c r="G124" s="75">
        <v>11</v>
      </c>
      <c r="H124" s="75">
        <v>2000</v>
      </c>
      <c r="I124" s="75"/>
      <c r="J124" s="75"/>
      <c r="K124" s="75"/>
      <c r="L124" s="75"/>
      <c r="M124" s="75">
        <f>H124+SUM(I124:L124)</f>
        <v>2000</v>
      </c>
      <c r="N124" s="75">
        <v>0</v>
      </c>
      <c r="O124" s="76">
        <f t="shared" si="57"/>
        <v>0</v>
      </c>
      <c r="P124" s="75"/>
      <c r="Q124" s="76">
        <f t="shared" si="58"/>
        <v>0</v>
      </c>
      <c r="R124" s="75"/>
      <c r="S124" s="76">
        <f t="shared" si="59"/>
        <v>0</v>
      </c>
      <c r="T124" s="75"/>
      <c r="U124" s="76">
        <f t="shared" si="60"/>
        <v>0</v>
      </c>
      <c r="V124" s="77">
        <f>H124</f>
        <v>2000</v>
      </c>
      <c r="W124" s="77">
        <f>V124</f>
        <v>2000</v>
      </c>
    </row>
    <row r="125" spans="1:23" ht="13.9" customHeight="1" x14ac:dyDescent="0.25">
      <c r="A125" s="79" t="s">
        <v>107</v>
      </c>
      <c r="B125" s="48">
        <v>72</v>
      </c>
      <c r="C125" s="48" t="s">
        <v>25</v>
      </c>
      <c r="D125" s="49">
        <f t="shared" ref="D125:N125" si="67">SUM(D124)</f>
        <v>4347.1400000000003</v>
      </c>
      <c r="E125" s="49">
        <f t="shared" si="67"/>
        <v>5986.24</v>
      </c>
      <c r="F125" s="49">
        <f t="shared" si="67"/>
        <v>0</v>
      </c>
      <c r="G125" s="49">
        <f t="shared" si="67"/>
        <v>11</v>
      </c>
      <c r="H125" s="49">
        <f t="shared" si="67"/>
        <v>2000</v>
      </c>
      <c r="I125" s="49">
        <f t="shared" si="67"/>
        <v>0</v>
      </c>
      <c r="J125" s="49">
        <f t="shared" si="67"/>
        <v>0</v>
      </c>
      <c r="K125" s="49">
        <f t="shared" si="67"/>
        <v>0</v>
      </c>
      <c r="L125" s="49">
        <f t="shared" si="67"/>
        <v>0</v>
      </c>
      <c r="M125" s="49">
        <f t="shared" si="67"/>
        <v>2000</v>
      </c>
      <c r="N125" s="49">
        <f t="shared" si="67"/>
        <v>0</v>
      </c>
      <c r="O125" s="50">
        <f t="shared" si="57"/>
        <v>0</v>
      </c>
      <c r="P125" s="49">
        <f>SUM(P124)</f>
        <v>0</v>
      </c>
      <c r="Q125" s="50">
        <f t="shared" si="58"/>
        <v>0</v>
      </c>
      <c r="R125" s="49">
        <f>SUM(R124)</f>
        <v>0</v>
      </c>
      <c r="S125" s="50">
        <f t="shared" si="59"/>
        <v>0</v>
      </c>
      <c r="T125" s="49">
        <f>SUM(T124)</f>
        <v>0</v>
      </c>
      <c r="U125" s="50">
        <f t="shared" si="60"/>
        <v>0</v>
      </c>
      <c r="V125" s="49">
        <f>SUM(V124)</f>
        <v>2000</v>
      </c>
      <c r="W125" s="49">
        <f>SUM(W124)</f>
        <v>2000</v>
      </c>
    </row>
    <row r="127" spans="1:23" ht="13.9" customHeight="1" x14ac:dyDescent="0.25">
      <c r="A127" s="32" t="s">
        <v>110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/>
      <c r="P127" s="32"/>
      <c r="Q127" s="32"/>
      <c r="R127" s="32"/>
      <c r="S127" s="32"/>
      <c r="T127" s="32"/>
      <c r="U127" s="32"/>
      <c r="V127" s="32"/>
      <c r="W127" s="32"/>
    </row>
    <row r="128" spans="1:23" ht="13.9" customHeight="1" x14ac:dyDescent="0.25">
      <c r="A128" s="20"/>
      <c r="B128" s="20"/>
      <c r="C128" s="20"/>
      <c r="D128" s="21" t="s">
        <v>1</v>
      </c>
      <c r="E128" s="21" t="s">
        <v>2</v>
      </c>
      <c r="F128" s="21" t="s">
        <v>3</v>
      </c>
      <c r="G128" s="21" t="s">
        <v>4</v>
      </c>
      <c r="H128" s="21" t="s">
        <v>5</v>
      </c>
      <c r="I128" s="21" t="s">
        <v>6</v>
      </c>
      <c r="J128" s="21" t="s">
        <v>7</v>
      </c>
      <c r="K128" s="21" t="s">
        <v>8</v>
      </c>
      <c r="L128" s="21" t="s">
        <v>9</v>
      </c>
      <c r="M128" s="21" t="s">
        <v>10</v>
      </c>
      <c r="N128" s="21" t="s">
        <v>11</v>
      </c>
      <c r="O128" s="22" t="s">
        <v>12</v>
      </c>
      <c r="P128" s="21" t="s">
        <v>13</v>
      </c>
      <c r="Q128" s="22" t="s">
        <v>14</v>
      </c>
      <c r="R128" s="21" t="s">
        <v>15</v>
      </c>
      <c r="S128" s="22" t="s">
        <v>16</v>
      </c>
      <c r="T128" s="21" t="s">
        <v>17</v>
      </c>
      <c r="U128" s="22" t="s">
        <v>18</v>
      </c>
      <c r="V128" s="21" t="s">
        <v>19</v>
      </c>
      <c r="W128" s="21" t="s">
        <v>20</v>
      </c>
    </row>
    <row r="129" spans="1:23" ht="13.9" customHeight="1" x14ac:dyDescent="0.25">
      <c r="A129" s="12" t="s">
        <v>21</v>
      </c>
      <c r="B129" s="35">
        <v>131</v>
      </c>
      <c r="C129" s="35" t="s">
        <v>45</v>
      </c>
      <c r="D129" s="36">
        <f t="shared" ref="D129:N129" si="68">D135</f>
        <v>69416.210000000006</v>
      </c>
      <c r="E129" s="36">
        <f t="shared" si="68"/>
        <v>32325.77</v>
      </c>
      <c r="F129" s="36">
        <f t="shared" si="68"/>
        <v>0</v>
      </c>
      <c r="G129" s="36">
        <f t="shared" si="68"/>
        <v>326950</v>
      </c>
      <c r="H129" s="36">
        <f t="shared" si="68"/>
        <v>177532</v>
      </c>
      <c r="I129" s="36">
        <f t="shared" si="68"/>
        <v>27250</v>
      </c>
      <c r="J129" s="36">
        <f t="shared" si="68"/>
        <v>0</v>
      </c>
      <c r="K129" s="36">
        <f t="shared" si="68"/>
        <v>0</v>
      </c>
      <c r="L129" s="36">
        <f t="shared" si="68"/>
        <v>0</v>
      </c>
      <c r="M129" s="36">
        <f t="shared" si="68"/>
        <v>204782</v>
      </c>
      <c r="N129" s="36">
        <f t="shared" si="68"/>
        <v>204781.27</v>
      </c>
      <c r="O129" s="37">
        <f>IFERROR(N129/$M129,0)</f>
        <v>0.99999643523356541</v>
      </c>
      <c r="P129" s="36">
        <f>P135</f>
        <v>0</v>
      </c>
      <c r="Q129" s="37">
        <f>IFERROR(P129/$M129,0)</f>
        <v>0</v>
      </c>
      <c r="R129" s="36">
        <f>R135</f>
        <v>0</v>
      </c>
      <c r="S129" s="37">
        <f>IFERROR(R129/$M129,0)</f>
        <v>0</v>
      </c>
      <c r="T129" s="36">
        <f>T135</f>
        <v>0</v>
      </c>
      <c r="U129" s="37">
        <f>IFERROR(T129/$M129,0)</f>
        <v>0</v>
      </c>
      <c r="V129" s="36">
        <f>V135</f>
        <v>0</v>
      </c>
      <c r="W129" s="36">
        <f>W135</f>
        <v>0</v>
      </c>
    </row>
    <row r="130" spans="1:23" ht="13.9" customHeight="1" x14ac:dyDescent="0.25">
      <c r="A130" s="12"/>
      <c r="B130" s="35">
        <v>41</v>
      </c>
      <c r="C130" s="35" t="s">
        <v>23</v>
      </c>
      <c r="D130" s="36">
        <f>D136+D139</f>
        <v>403699.06</v>
      </c>
      <c r="E130" s="36">
        <f>E136+E139</f>
        <v>112421.69</v>
      </c>
      <c r="F130" s="36">
        <f>F136+F139</f>
        <v>195876</v>
      </c>
      <c r="G130" s="36">
        <f>G136+G139</f>
        <v>74201</v>
      </c>
      <c r="H130" s="36">
        <f t="shared" ref="H130:N130" si="69">H137+H139</f>
        <v>150000</v>
      </c>
      <c r="I130" s="36">
        <f t="shared" si="69"/>
        <v>0</v>
      </c>
      <c r="J130" s="36">
        <f t="shared" si="69"/>
        <v>0</v>
      </c>
      <c r="K130" s="36">
        <f t="shared" si="69"/>
        <v>0</v>
      </c>
      <c r="L130" s="36">
        <f t="shared" si="69"/>
        <v>0</v>
      </c>
      <c r="M130" s="36">
        <f t="shared" si="69"/>
        <v>150000</v>
      </c>
      <c r="N130" s="36">
        <f t="shared" si="69"/>
        <v>411034.08999999997</v>
      </c>
      <c r="O130" s="37">
        <f>IFERROR(N130/$M130,0)</f>
        <v>2.7402272666666665</v>
      </c>
      <c r="P130" s="36">
        <f>P137+P139</f>
        <v>0</v>
      </c>
      <c r="Q130" s="37">
        <f>IFERROR(P130/$M130,0)</f>
        <v>0</v>
      </c>
      <c r="R130" s="36">
        <f>R137+R139</f>
        <v>0</v>
      </c>
      <c r="S130" s="37">
        <f>IFERROR(R130/$M130,0)</f>
        <v>0</v>
      </c>
      <c r="T130" s="36">
        <f>T137+T139</f>
        <v>0</v>
      </c>
      <c r="U130" s="37">
        <f>IFERROR(T130/$M130,0)</f>
        <v>0</v>
      </c>
      <c r="V130" s="36">
        <f>V136+V139</f>
        <v>0</v>
      </c>
      <c r="W130" s="36">
        <f>W136+W139</f>
        <v>0</v>
      </c>
    </row>
    <row r="131" spans="1:23" ht="13.9" customHeight="1" x14ac:dyDescent="0.25">
      <c r="A131" s="12"/>
      <c r="B131" s="35">
        <v>71</v>
      </c>
      <c r="C131" s="35" t="s">
        <v>24</v>
      </c>
      <c r="D131" s="36">
        <f>D140</f>
        <v>4060.3</v>
      </c>
      <c r="E131" s="36">
        <f>E140</f>
        <v>30067.64</v>
      </c>
      <c r="F131" s="36">
        <f>F140</f>
        <v>0</v>
      </c>
      <c r="G131" s="36">
        <f>G140</f>
        <v>49900</v>
      </c>
      <c r="H131" s="36">
        <f t="shared" ref="H131:N131" si="70">H140+H136</f>
        <v>6000</v>
      </c>
      <c r="I131" s="36">
        <f t="shared" si="70"/>
        <v>0</v>
      </c>
      <c r="J131" s="36">
        <f t="shared" si="70"/>
        <v>0</v>
      </c>
      <c r="K131" s="36">
        <f t="shared" si="70"/>
        <v>0</v>
      </c>
      <c r="L131" s="36">
        <f t="shared" si="70"/>
        <v>0</v>
      </c>
      <c r="M131" s="36">
        <f t="shared" si="70"/>
        <v>6000</v>
      </c>
      <c r="N131" s="36">
        <f t="shared" si="70"/>
        <v>4047.64</v>
      </c>
      <c r="O131" s="37">
        <f>IFERROR(N131/$M131,0)</f>
        <v>0.67460666666666669</v>
      </c>
      <c r="P131" s="36">
        <f>P140+P136</f>
        <v>0</v>
      </c>
      <c r="Q131" s="37">
        <f>IFERROR(P131/$M131,0)</f>
        <v>0</v>
      </c>
      <c r="R131" s="36">
        <f>R140+R136</f>
        <v>0</v>
      </c>
      <c r="S131" s="37">
        <f>IFERROR(R131/$M131,0)</f>
        <v>0</v>
      </c>
      <c r="T131" s="36">
        <f>T140+T136</f>
        <v>0</v>
      </c>
      <c r="U131" s="37">
        <f>IFERROR(T131/$M131,0)</f>
        <v>0</v>
      </c>
      <c r="V131" s="36">
        <f>V140+V136</f>
        <v>0</v>
      </c>
      <c r="W131" s="36">
        <f>W140+W136</f>
        <v>0</v>
      </c>
    </row>
    <row r="132" spans="1:23" ht="13.9" customHeight="1" x14ac:dyDescent="0.25">
      <c r="A132" s="12"/>
      <c r="B132" s="35">
        <v>72</v>
      </c>
      <c r="C132" s="35" t="s">
        <v>25</v>
      </c>
      <c r="D132" s="36">
        <f t="shared" ref="D132:N132" si="71">D138</f>
        <v>0</v>
      </c>
      <c r="E132" s="36">
        <f t="shared" si="71"/>
        <v>0</v>
      </c>
      <c r="F132" s="36">
        <f t="shared" si="71"/>
        <v>0</v>
      </c>
      <c r="G132" s="36">
        <f t="shared" si="71"/>
        <v>0</v>
      </c>
      <c r="H132" s="36">
        <f t="shared" si="71"/>
        <v>0</v>
      </c>
      <c r="I132" s="36">
        <f t="shared" si="71"/>
        <v>12850</v>
      </c>
      <c r="J132" s="36">
        <f t="shared" si="71"/>
        <v>0</v>
      </c>
      <c r="K132" s="36">
        <f t="shared" si="71"/>
        <v>0</v>
      </c>
      <c r="L132" s="36">
        <f t="shared" si="71"/>
        <v>0</v>
      </c>
      <c r="M132" s="36">
        <f t="shared" si="71"/>
        <v>12850</v>
      </c>
      <c r="N132" s="36">
        <f t="shared" si="71"/>
        <v>12849.56</v>
      </c>
      <c r="O132" s="37">
        <f>IFERROR(N132/$M132,0)</f>
        <v>0.99996575875486382</v>
      </c>
      <c r="P132" s="36">
        <f>P138</f>
        <v>0</v>
      </c>
      <c r="Q132" s="37">
        <f>IFERROR(P132/$M132,0)</f>
        <v>0</v>
      </c>
      <c r="R132" s="36">
        <f>R138</f>
        <v>0</v>
      </c>
      <c r="S132" s="37">
        <f>IFERROR(R132/$M132,0)</f>
        <v>0</v>
      </c>
      <c r="T132" s="36">
        <f>T138</f>
        <v>0</v>
      </c>
      <c r="U132" s="37">
        <f>IFERROR(T132/$M132,0)</f>
        <v>0</v>
      </c>
      <c r="V132" s="36">
        <f>V138</f>
        <v>0</v>
      </c>
      <c r="W132" s="36">
        <f>W138</f>
        <v>0</v>
      </c>
    </row>
    <row r="133" spans="1:23" ht="13.9" customHeight="1" x14ac:dyDescent="0.25">
      <c r="A133" s="30"/>
      <c r="B133" s="31"/>
      <c r="C133" s="38" t="s">
        <v>29</v>
      </c>
      <c r="D133" s="39">
        <f t="shared" ref="D133:N133" si="72">SUM(D129:D132)</f>
        <v>477175.57</v>
      </c>
      <c r="E133" s="39">
        <f t="shared" si="72"/>
        <v>174815.09999999998</v>
      </c>
      <c r="F133" s="39">
        <f t="shared" si="72"/>
        <v>195876</v>
      </c>
      <c r="G133" s="39">
        <f t="shared" si="72"/>
        <v>451051</v>
      </c>
      <c r="H133" s="39">
        <f t="shared" si="72"/>
        <v>333532</v>
      </c>
      <c r="I133" s="39">
        <f t="shared" si="72"/>
        <v>40100</v>
      </c>
      <c r="J133" s="39">
        <f t="shared" si="72"/>
        <v>0</v>
      </c>
      <c r="K133" s="39">
        <f t="shared" si="72"/>
        <v>0</v>
      </c>
      <c r="L133" s="39">
        <f t="shared" si="72"/>
        <v>0</v>
      </c>
      <c r="M133" s="39">
        <f t="shared" si="72"/>
        <v>373632</v>
      </c>
      <c r="N133" s="39">
        <f t="shared" si="72"/>
        <v>632712.56000000006</v>
      </c>
      <c r="O133" s="40">
        <f>IFERROR(N133/$M133,0)</f>
        <v>1.6934110568687908</v>
      </c>
      <c r="P133" s="39">
        <f>SUM(P129:P132)</f>
        <v>0</v>
      </c>
      <c r="Q133" s="40">
        <f>IFERROR(P133/$M133,0)</f>
        <v>0</v>
      </c>
      <c r="R133" s="39">
        <f>SUM(R129:R132)</f>
        <v>0</v>
      </c>
      <c r="S133" s="40">
        <f>IFERROR(R133/$M133,0)</f>
        <v>0</v>
      </c>
      <c r="T133" s="39">
        <f>SUM(T129:T132)</f>
        <v>0</v>
      </c>
      <c r="U133" s="40">
        <f>IFERROR(T133/$M133,0)</f>
        <v>0</v>
      </c>
      <c r="V133" s="39">
        <f>SUM(V129:V132)</f>
        <v>0</v>
      </c>
      <c r="W133" s="39">
        <f>SUM(W129:W132)</f>
        <v>0</v>
      </c>
    </row>
    <row r="135" spans="1:23" ht="13.9" customHeight="1" x14ac:dyDescent="0.25">
      <c r="B135" s="52" t="s">
        <v>55</v>
      </c>
      <c r="C135" s="30" t="s">
        <v>111</v>
      </c>
      <c r="D135" s="53">
        <v>69416.210000000006</v>
      </c>
      <c r="E135" s="53">
        <v>32325.77</v>
      </c>
      <c r="F135" s="53">
        <v>0</v>
      </c>
      <c r="G135" s="53">
        <v>326950</v>
      </c>
      <c r="H135" s="53">
        <v>177532</v>
      </c>
      <c r="I135" s="53">
        <v>27250</v>
      </c>
      <c r="J135" s="53"/>
      <c r="K135" s="53"/>
      <c r="L135" s="53"/>
      <c r="M135" s="53">
        <f t="shared" ref="M135:M140" si="73">H135+SUM(I135:L135)</f>
        <v>204782</v>
      </c>
      <c r="N135" s="53">
        <v>204781.27</v>
      </c>
      <c r="O135" s="54">
        <f t="shared" ref="O135:O140" si="74">IFERROR(N135/$M135,0)</f>
        <v>0.99999643523356541</v>
      </c>
      <c r="P135" s="53"/>
      <c r="Q135" s="54">
        <f t="shared" ref="Q135:Q140" si="75">IFERROR(P135/$M135,0)</f>
        <v>0</v>
      </c>
      <c r="R135" s="53"/>
      <c r="S135" s="54">
        <f t="shared" ref="S135:S140" si="76">IFERROR(R135/$M135,0)</f>
        <v>0</v>
      </c>
      <c r="T135" s="53"/>
      <c r="U135" s="55">
        <f t="shared" ref="U135:U140" si="77">IFERROR(T135/$M135,0)</f>
        <v>0</v>
      </c>
      <c r="V135" s="53"/>
      <c r="W135" s="56"/>
    </row>
    <row r="136" spans="1:23" ht="13.9" customHeight="1" x14ac:dyDescent="0.25">
      <c r="B136" s="57"/>
      <c r="C136" s="15" t="s">
        <v>112</v>
      </c>
      <c r="D136" s="59">
        <v>12705.67</v>
      </c>
      <c r="E136" s="59">
        <v>112421.69</v>
      </c>
      <c r="F136" s="59">
        <v>195876</v>
      </c>
      <c r="G136" s="59">
        <v>74201</v>
      </c>
      <c r="H136" s="59">
        <v>4000</v>
      </c>
      <c r="I136" s="59"/>
      <c r="J136" s="59"/>
      <c r="K136" s="59"/>
      <c r="L136" s="59"/>
      <c r="M136" s="59">
        <f t="shared" si="73"/>
        <v>4000</v>
      </c>
      <c r="N136" s="59">
        <v>4000</v>
      </c>
      <c r="O136" s="16">
        <f t="shared" si="74"/>
        <v>1</v>
      </c>
      <c r="P136" s="59"/>
      <c r="Q136" s="16">
        <f t="shared" si="75"/>
        <v>0</v>
      </c>
      <c r="R136" s="59"/>
      <c r="S136" s="16">
        <f t="shared" si="76"/>
        <v>0</v>
      </c>
      <c r="T136" s="59"/>
      <c r="U136" s="60">
        <f t="shared" si="77"/>
        <v>0</v>
      </c>
      <c r="V136" s="59"/>
      <c r="W136" s="61"/>
    </row>
    <row r="137" spans="1:23" ht="13.9" customHeight="1" x14ac:dyDescent="0.25">
      <c r="B137" s="57"/>
      <c r="C137" s="15" t="s">
        <v>113</v>
      </c>
      <c r="D137" s="59"/>
      <c r="E137" s="59"/>
      <c r="F137" s="59"/>
      <c r="G137" s="59"/>
      <c r="H137" s="59">
        <v>0</v>
      </c>
      <c r="I137" s="59"/>
      <c r="J137" s="59"/>
      <c r="K137" s="59"/>
      <c r="L137" s="59"/>
      <c r="M137" s="59">
        <f t="shared" si="73"/>
        <v>0</v>
      </c>
      <c r="N137" s="59">
        <f>261034.09</f>
        <v>261034.09</v>
      </c>
      <c r="O137" s="16">
        <f t="shared" si="74"/>
        <v>0</v>
      </c>
      <c r="P137" s="59"/>
      <c r="Q137" s="16">
        <f t="shared" si="75"/>
        <v>0</v>
      </c>
      <c r="R137" s="59"/>
      <c r="S137" s="16">
        <f t="shared" si="76"/>
        <v>0</v>
      </c>
      <c r="T137" s="59"/>
      <c r="U137" s="60">
        <f t="shared" si="77"/>
        <v>0</v>
      </c>
      <c r="V137" s="59"/>
      <c r="W137" s="61"/>
    </row>
    <row r="138" spans="1:23" ht="13.9" customHeight="1" x14ac:dyDescent="0.25">
      <c r="B138" s="57"/>
      <c r="C138" s="15" t="s">
        <v>114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v>12850</v>
      </c>
      <c r="J138" s="59"/>
      <c r="K138" s="59"/>
      <c r="L138" s="59"/>
      <c r="M138" s="59">
        <f t="shared" si="73"/>
        <v>12850</v>
      </c>
      <c r="N138" s="59">
        <v>12849.56</v>
      </c>
      <c r="O138" s="16">
        <f t="shared" si="74"/>
        <v>0.99996575875486382</v>
      </c>
      <c r="P138" s="59"/>
      <c r="Q138" s="16">
        <f t="shared" si="75"/>
        <v>0</v>
      </c>
      <c r="R138" s="59"/>
      <c r="S138" s="16">
        <f t="shared" si="76"/>
        <v>0</v>
      </c>
      <c r="T138" s="59"/>
      <c r="U138" s="60">
        <f t="shared" si="77"/>
        <v>0</v>
      </c>
      <c r="V138" s="59"/>
      <c r="W138" s="61"/>
    </row>
    <row r="139" spans="1:23" ht="13.9" customHeight="1" x14ac:dyDescent="0.25">
      <c r="B139" s="57"/>
      <c r="C139" s="58" t="s">
        <v>115</v>
      </c>
      <c r="D139" s="59">
        <v>390993.39</v>
      </c>
      <c r="E139" s="59">
        <v>0</v>
      </c>
      <c r="F139" s="59">
        <v>0</v>
      </c>
      <c r="G139" s="59">
        <v>0</v>
      </c>
      <c r="H139" s="59">
        <v>150000</v>
      </c>
      <c r="I139" s="59"/>
      <c r="J139" s="59"/>
      <c r="K139" s="59"/>
      <c r="L139" s="59"/>
      <c r="M139" s="59">
        <f t="shared" si="73"/>
        <v>150000</v>
      </c>
      <c r="N139" s="59">
        <v>150000</v>
      </c>
      <c r="O139" s="16">
        <f t="shared" si="74"/>
        <v>1</v>
      </c>
      <c r="P139" s="59"/>
      <c r="Q139" s="16">
        <f t="shared" si="75"/>
        <v>0</v>
      </c>
      <c r="R139" s="59"/>
      <c r="S139" s="16">
        <f t="shared" si="76"/>
        <v>0</v>
      </c>
      <c r="T139" s="59"/>
      <c r="U139" s="60">
        <f t="shared" si="77"/>
        <v>0</v>
      </c>
      <c r="V139" s="59"/>
      <c r="W139" s="61"/>
    </row>
    <row r="140" spans="1:23" ht="13.9" customHeight="1" x14ac:dyDescent="0.25">
      <c r="B140" s="65"/>
      <c r="C140" s="66" t="s">
        <v>116</v>
      </c>
      <c r="D140" s="67">
        <v>4060.3</v>
      </c>
      <c r="E140" s="67">
        <v>30067.64</v>
      </c>
      <c r="F140" s="67">
        <v>0</v>
      </c>
      <c r="G140" s="67">
        <v>49900</v>
      </c>
      <c r="H140" s="67">
        <v>2000</v>
      </c>
      <c r="I140" s="67"/>
      <c r="J140" s="67"/>
      <c r="K140" s="67"/>
      <c r="L140" s="67"/>
      <c r="M140" s="67">
        <f t="shared" si="73"/>
        <v>2000</v>
      </c>
      <c r="N140" s="67">
        <v>47.64</v>
      </c>
      <c r="O140" s="68">
        <f t="shared" si="74"/>
        <v>2.3820000000000001E-2</v>
      </c>
      <c r="P140" s="67"/>
      <c r="Q140" s="68">
        <f t="shared" si="75"/>
        <v>0</v>
      </c>
      <c r="R140" s="67"/>
      <c r="S140" s="68">
        <f t="shared" si="76"/>
        <v>0</v>
      </c>
      <c r="T140" s="67"/>
      <c r="U140" s="69">
        <f t="shared" si="77"/>
        <v>0</v>
      </c>
      <c r="V140" s="67"/>
      <c r="W140" s="70"/>
    </row>
    <row r="142" spans="1:23" ht="13.9" customHeight="1" x14ac:dyDescent="0.25">
      <c r="A142" s="32" t="s">
        <v>117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/>
      <c r="P142" s="32"/>
      <c r="Q142" s="32"/>
      <c r="R142" s="32"/>
      <c r="S142" s="32"/>
      <c r="T142" s="32"/>
      <c r="U142" s="32"/>
      <c r="V142" s="32"/>
      <c r="W142" s="32"/>
    </row>
    <row r="143" spans="1:23" ht="13.9" customHeight="1" x14ac:dyDescent="0.25">
      <c r="A143" s="20"/>
      <c r="B143" s="20"/>
      <c r="C143" s="20"/>
      <c r="D143" s="21" t="s">
        <v>1</v>
      </c>
      <c r="E143" s="21" t="s">
        <v>2</v>
      </c>
      <c r="F143" s="21" t="s">
        <v>3</v>
      </c>
      <c r="G143" s="21" t="s">
        <v>4</v>
      </c>
      <c r="H143" s="21" t="s">
        <v>5</v>
      </c>
      <c r="I143" s="21" t="s">
        <v>6</v>
      </c>
      <c r="J143" s="21" t="s">
        <v>7</v>
      </c>
      <c r="K143" s="21" t="s">
        <v>8</v>
      </c>
      <c r="L143" s="21" t="s">
        <v>9</v>
      </c>
      <c r="M143" s="21" t="s">
        <v>10</v>
      </c>
      <c r="N143" s="21" t="s">
        <v>11</v>
      </c>
      <c r="O143" s="22" t="s">
        <v>12</v>
      </c>
      <c r="P143" s="21" t="s">
        <v>13</v>
      </c>
      <c r="Q143" s="22" t="s">
        <v>14</v>
      </c>
      <c r="R143" s="21" t="s">
        <v>15</v>
      </c>
      <c r="S143" s="22" t="s">
        <v>16</v>
      </c>
      <c r="T143" s="21" t="s">
        <v>17</v>
      </c>
      <c r="U143" s="22" t="s">
        <v>18</v>
      </c>
      <c r="V143" s="21" t="s">
        <v>19</v>
      </c>
      <c r="W143" s="21" t="s">
        <v>20</v>
      </c>
    </row>
    <row r="144" spans="1:23" ht="13.9" customHeight="1" x14ac:dyDescent="0.25">
      <c r="D144" s="36">
        <f>D21-výdaje!G18</f>
        <v>239175.43999999994</v>
      </c>
      <c r="E144" s="36">
        <f>E21-výdaje!H18</f>
        <v>573390.06000000099</v>
      </c>
      <c r="F144" s="36">
        <f>F21-výdaje!I18</f>
        <v>0</v>
      </c>
      <c r="G144" s="36">
        <f>G21-výdaje!J18</f>
        <v>502045</v>
      </c>
      <c r="H144" s="36">
        <f>H21-výdaje!K18</f>
        <v>0</v>
      </c>
      <c r="I144" s="36">
        <f>I21-výdaje!L18</f>
        <v>0</v>
      </c>
      <c r="J144" s="36">
        <f>J21-výdaje!M18</f>
        <v>0</v>
      </c>
      <c r="K144" s="36">
        <f>K21-výdaje!N18</f>
        <v>0</v>
      </c>
      <c r="L144" s="36">
        <f>L21-výdaje!O18</f>
        <v>0</v>
      </c>
      <c r="M144" s="36">
        <f>M21-výdaje!P18</f>
        <v>0</v>
      </c>
      <c r="N144" s="36">
        <f>N21-výdaje!Q18</f>
        <v>874359.22</v>
      </c>
      <c r="O144" s="37" t="e">
        <f>N144/$M144</f>
        <v>#DIV/0!</v>
      </c>
      <c r="P144" s="36">
        <f>P21-výdaje!S18</f>
        <v>0</v>
      </c>
      <c r="Q144" s="37" t="e">
        <f>P144/$M144</f>
        <v>#DIV/0!</v>
      </c>
      <c r="R144" s="36">
        <f>R21-výdaje!U18</f>
        <v>0</v>
      </c>
      <c r="S144" s="37" t="e">
        <f>R144/$M144</f>
        <v>#DIV/0!</v>
      </c>
      <c r="T144" s="36">
        <f>T21-výdaje!W18</f>
        <v>0</v>
      </c>
      <c r="U144" s="37" t="e">
        <f>T144/$M144</f>
        <v>#DIV/0!</v>
      </c>
      <c r="V144" s="36">
        <f>V21-výdaje!Y18</f>
        <v>0</v>
      </c>
      <c r="W144" s="36">
        <f>W21-výdaje!Z18</f>
        <v>0</v>
      </c>
    </row>
    <row r="146" spans="2:23" ht="13.9" customHeight="1" x14ac:dyDescent="0.25">
      <c r="B146" s="80" t="s">
        <v>118</v>
      </c>
      <c r="C146" s="81"/>
      <c r="D146" s="82">
        <v>0</v>
      </c>
      <c r="E146" s="82">
        <v>180448.92</v>
      </c>
      <c r="F146" s="82">
        <f>E146+45857.86</f>
        <v>226306.78000000003</v>
      </c>
      <c r="G146" s="82">
        <v>92206</v>
      </c>
      <c r="H146" s="82">
        <f>318513-H139</f>
        <v>168513</v>
      </c>
      <c r="I146" s="82"/>
      <c r="J146" s="82"/>
      <c r="K146" s="82"/>
      <c r="L146" s="82"/>
      <c r="M146" s="82">
        <f>H146+SUM(I146:L146)</f>
        <v>168513</v>
      </c>
      <c r="N146" s="82"/>
      <c r="O146" s="82"/>
      <c r="P146" s="82"/>
      <c r="Q146" s="82"/>
      <c r="R146" s="82"/>
      <c r="S146" s="82"/>
      <c r="T146" s="82"/>
      <c r="U146" s="82"/>
      <c r="V146" s="82">
        <v>0</v>
      </c>
      <c r="W146" s="83">
        <v>0</v>
      </c>
    </row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A75:A77"/>
    <mergeCell ref="A82:A119"/>
    <mergeCell ref="A121:A122"/>
    <mergeCell ref="A129:A132"/>
    <mergeCell ref="A3:A20"/>
    <mergeCell ref="A30:A37"/>
    <mergeCell ref="A42:A44"/>
    <mergeCell ref="A52:A56"/>
    <mergeCell ref="A58:A59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2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topLeftCell="D1" zoomScaleNormal="100" workbookViewId="0">
      <pane ySplit="2" topLeftCell="A3" activePane="bottomLeft" state="frozen"/>
      <selection activeCell="D1" sqref="D1"/>
      <selection pane="bottomLeft" activeCell="D1" sqref="D1"/>
    </sheetView>
  </sheetViews>
  <sheetFormatPr defaultColWidth="11.5703125" defaultRowHeight="13.9" customHeight="1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10" width="11" style="15" hidden="1" customWidth="1"/>
    <col min="11" max="11" width="11.7109375" style="15" customWidth="1"/>
    <col min="12" max="15" width="11" style="15" hidden="1" customWidth="1"/>
    <col min="16" max="17" width="11.7109375" style="15" customWidth="1"/>
    <col min="18" max="18" width="6.7109375" style="16" customWidth="1"/>
    <col min="19" max="19" width="11.7109375" style="15" customWidth="1"/>
    <col min="20" max="20" width="6.7109375" style="16" customWidth="1"/>
    <col min="21" max="21" width="11.7109375" style="15" customWidth="1"/>
    <col min="22" max="22" width="6.7109375" style="16" customWidth="1"/>
    <col min="23" max="23" width="11.7109375" style="15" customWidth="1"/>
    <col min="24" max="24" width="6.7109375" style="16" customWidth="1"/>
    <col min="25" max="26" width="11" style="15" hidden="1" customWidth="1"/>
    <col min="27" max="64" width="8.7109375" style="15" customWidth="1"/>
  </cols>
  <sheetData>
    <row r="1" spans="1:26" ht="13.9" customHeight="1" x14ac:dyDescent="0.25">
      <c r="A1" s="15" t="s">
        <v>119</v>
      </c>
      <c r="B1" s="15" t="s">
        <v>120</v>
      </c>
      <c r="C1" s="15" t="s">
        <v>121</v>
      </c>
      <c r="D1" s="17" t="s">
        <v>122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123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4">
        <v>111</v>
      </c>
      <c r="F3" s="24" t="s">
        <v>22</v>
      </c>
      <c r="G3" s="25">
        <f t="shared" ref="G3:Q3" si="0">G22+G155+G187+G214+G251+G352+G452</f>
        <v>791685.4800000001</v>
      </c>
      <c r="H3" s="25">
        <f t="shared" si="0"/>
        <v>968449.97000000009</v>
      </c>
      <c r="I3" s="25">
        <f t="shared" si="0"/>
        <v>862751</v>
      </c>
      <c r="J3" s="25">
        <f t="shared" si="0"/>
        <v>1054822</v>
      </c>
      <c r="K3" s="25">
        <f t="shared" si="0"/>
        <v>1257583</v>
      </c>
      <c r="L3" s="25">
        <f t="shared" si="0"/>
        <v>57489</v>
      </c>
      <c r="M3" s="25">
        <f t="shared" si="0"/>
        <v>0</v>
      </c>
      <c r="N3" s="25">
        <f t="shared" si="0"/>
        <v>0</v>
      </c>
      <c r="O3" s="25">
        <f t="shared" si="0"/>
        <v>0</v>
      </c>
      <c r="P3" s="25">
        <f t="shared" si="0"/>
        <v>1315072</v>
      </c>
      <c r="Q3" s="25">
        <f t="shared" si="0"/>
        <v>232556.58000000002</v>
      </c>
      <c r="R3" s="26">
        <f t="shared" ref="R3:R18" si="1">IFERROR(Q3/$P3,0)</f>
        <v>0.17683942780319253</v>
      </c>
      <c r="S3" s="25">
        <f>S22+S155+S187+S214+S251+S352+S452</f>
        <v>0</v>
      </c>
      <c r="T3" s="26">
        <f t="shared" ref="T3:T18" si="2">IFERROR(S3/$P3,0)</f>
        <v>0</v>
      </c>
      <c r="U3" s="25">
        <f>U22+U155+U187+U214+U251+U352+U452</f>
        <v>0</v>
      </c>
      <c r="V3" s="26">
        <f t="shared" ref="V3:V18" si="3">IFERROR(U3/$P3,0)</f>
        <v>0</v>
      </c>
      <c r="W3" s="25">
        <f>W22+W155+W187+W214+W251+W352+W452</f>
        <v>0</v>
      </c>
      <c r="X3" s="26">
        <f t="shared" ref="X3:X18" si="4">IFERROR(W3/$P3,0)</f>
        <v>0</v>
      </c>
      <c r="Y3" s="25">
        <f>Y22+Y155+Y187+Y214+Y251+Y352+Y452</f>
        <v>1203419</v>
      </c>
      <c r="Z3" s="25">
        <f>Z22+Z155+Z187+Z214+Z251+Z352+Z452</f>
        <v>1206374</v>
      </c>
    </row>
    <row r="4" spans="1:26" ht="13.9" customHeight="1" x14ac:dyDescent="0.25">
      <c r="D4" s="10"/>
      <c r="E4" s="24">
        <v>41</v>
      </c>
      <c r="F4" s="24" t="s">
        <v>23</v>
      </c>
      <c r="G4" s="25">
        <f t="shared" ref="G4:Q4" si="5">G23+G156+G188+G215+G252+G353+G453</f>
        <v>905801.05</v>
      </c>
      <c r="H4" s="25">
        <f t="shared" si="5"/>
        <v>916930.86999999988</v>
      </c>
      <c r="I4" s="25">
        <f t="shared" si="5"/>
        <v>1118736</v>
      </c>
      <c r="J4" s="25">
        <f t="shared" si="5"/>
        <v>1107243</v>
      </c>
      <c r="K4" s="25">
        <f t="shared" si="5"/>
        <v>880115</v>
      </c>
      <c r="L4" s="25">
        <f t="shared" si="5"/>
        <v>6052</v>
      </c>
      <c r="M4" s="25">
        <f t="shared" si="5"/>
        <v>0</v>
      </c>
      <c r="N4" s="25">
        <f t="shared" si="5"/>
        <v>0</v>
      </c>
      <c r="O4" s="25">
        <f t="shared" si="5"/>
        <v>0</v>
      </c>
      <c r="P4" s="25">
        <f t="shared" si="5"/>
        <v>886167</v>
      </c>
      <c r="Q4" s="25">
        <f t="shared" si="5"/>
        <v>186700.01</v>
      </c>
      <c r="R4" s="26">
        <f t="shared" si="1"/>
        <v>0.21068264785305704</v>
      </c>
      <c r="S4" s="25">
        <f>S23+S156+S188+S215+S252+S353+S453</f>
        <v>0</v>
      </c>
      <c r="T4" s="26">
        <f t="shared" si="2"/>
        <v>0</v>
      </c>
      <c r="U4" s="25">
        <f>U23+U156+U188+U215+U252+U353+U453</f>
        <v>0</v>
      </c>
      <c r="V4" s="26">
        <f t="shared" si="3"/>
        <v>0</v>
      </c>
      <c r="W4" s="25">
        <f>W23+W156+W188+W215+W252+W353+W453</f>
        <v>0</v>
      </c>
      <c r="X4" s="26">
        <f t="shared" si="4"/>
        <v>0</v>
      </c>
      <c r="Y4" s="25">
        <f>Y23+Y156+Y188+Y215+Y252+Y353+Y453</f>
        <v>903889</v>
      </c>
      <c r="Z4" s="25">
        <f>Z23+Z156+Z188+Z215+Z252+Z353+Z453</f>
        <v>929566</v>
      </c>
    </row>
    <row r="5" spans="1:26" ht="13.9" customHeight="1" x14ac:dyDescent="0.25">
      <c r="D5" s="10"/>
      <c r="E5" s="24">
        <v>71</v>
      </c>
      <c r="F5" s="24" t="s">
        <v>24</v>
      </c>
      <c r="G5" s="25">
        <f t="shared" ref="G5:Q5" si="6">G253</f>
        <v>3000</v>
      </c>
      <c r="H5" s="25">
        <f t="shared" si="6"/>
        <v>3000</v>
      </c>
      <c r="I5" s="25">
        <f t="shared" si="6"/>
        <v>3000</v>
      </c>
      <c r="J5" s="25">
        <f t="shared" si="6"/>
        <v>3000</v>
      </c>
      <c r="K5" s="25">
        <f t="shared" si="6"/>
        <v>3000</v>
      </c>
      <c r="L5" s="25">
        <f t="shared" si="6"/>
        <v>0</v>
      </c>
      <c r="M5" s="25">
        <f t="shared" si="6"/>
        <v>0</v>
      </c>
      <c r="N5" s="25">
        <f t="shared" si="6"/>
        <v>0</v>
      </c>
      <c r="O5" s="25">
        <f t="shared" si="6"/>
        <v>0</v>
      </c>
      <c r="P5" s="25">
        <f t="shared" si="6"/>
        <v>3000</v>
      </c>
      <c r="Q5" s="25">
        <f t="shared" si="6"/>
        <v>0</v>
      </c>
      <c r="R5" s="26">
        <f t="shared" si="1"/>
        <v>0</v>
      </c>
      <c r="S5" s="25">
        <f>S253</f>
        <v>0</v>
      </c>
      <c r="T5" s="26">
        <f t="shared" si="2"/>
        <v>0</v>
      </c>
      <c r="U5" s="25">
        <f>U253</f>
        <v>0</v>
      </c>
      <c r="V5" s="26">
        <f t="shared" si="3"/>
        <v>0</v>
      </c>
      <c r="W5" s="25">
        <f>W253</f>
        <v>0</v>
      </c>
      <c r="X5" s="26">
        <f t="shared" si="4"/>
        <v>0</v>
      </c>
      <c r="Y5" s="25">
        <f>Y253</f>
        <v>3000</v>
      </c>
      <c r="Z5" s="25">
        <f>Z253</f>
        <v>3000</v>
      </c>
    </row>
    <row r="6" spans="1:26" ht="13.9" customHeight="1" x14ac:dyDescent="0.25">
      <c r="D6" s="10"/>
      <c r="E6" s="24">
        <v>72</v>
      </c>
      <c r="F6" s="24" t="s">
        <v>25</v>
      </c>
      <c r="G6" s="25">
        <f t="shared" ref="G6:Q6" si="7">G24+G157+G189+G216+G254+G454</f>
        <v>74248.110000000015</v>
      </c>
      <c r="H6" s="25">
        <f t="shared" si="7"/>
        <v>100119.76</v>
      </c>
      <c r="I6" s="25">
        <f t="shared" si="7"/>
        <v>100528</v>
      </c>
      <c r="J6" s="25">
        <f t="shared" si="7"/>
        <v>92625</v>
      </c>
      <c r="K6" s="25">
        <f t="shared" si="7"/>
        <v>95222</v>
      </c>
      <c r="L6" s="25">
        <f t="shared" si="7"/>
        <v>12910</v>
      </c>
      <c r="M6" s="25">
        <f t="shared" si="7"/>
        <v>0</v>
      </c>
      <c r="N6" s="25">
        <f t="shared" si="7"/>
        <v>0</v>
      </c>
      <c r="O6" s="25">
        <f t="shared" si="7"/>
        <v>0</v>
      </c>
      <c r="P6" s="25">
        <f t="shared" si="7"/>
        <v>108132</v>
      </c>
      <c r="Q6" s="25">
        <f t="shared" si="7"/>
        <v>11177.83</v>
      </c>
      <c r="R6" s="26">
        <f t="shared" si="1"/>
        <v>0.10337208226981837</v>
      </c>
      <c r="S6" s="25">
        <f>S24+S157+S189+S216+S254+S454</f>
        <v>0</v>
      </c>
      <c r="T6" s="26">
        <f t="shared" si="2"/>
        <v>0</v>
      </c>
      <c r="U6" s="25">
        <f>U24+U157+U189+U216+U254+U454</f>
        <v>0</v>
      </c>
      <c r="V6" s="26">
        <f t="shared" si="3"/>
        <v>0</v>
      </c>
      <c r="W6" s="25">
        <f>W24+W157+W189+W216+W254+W454</f>
        <v>0</v>
      </c>
      <c r="X6" s="26">
        <f t="shared" si="4"/>
        <v>0</v>
      </c>
      <c r="Y6" s="25">
        <f>Y24+Y157+Y189+Y216+Y254+Y454</f>
        <v>95795</v>
      </c>
      <c r="Z6" s="25">
        <f>Z24+Z157+Z189+Z216+Z254+Z454</f>
        <v>95795</v>
      </c>
    </row>
    <row r="7" spans="1:26" ht="13.9" customHeight="1" x14ac:dyDescent="0.25">
      <c r="D7" s="10"/>
      <c r="E7" s="24"/>
      <c r="F7" s="27" t="s">
        <v>124</v>
      </c>
      <c r="G7" s="28">
        <f t="shared" ref="G7:Q7" si="8">SUM(G3:G6)</f>
        <v>1774734.6400000004</v>
      </c>
      <c r="H7" s="28">
        <f t="shared" si="8"/>
        <v>1988500.5999999999</v>
      </c>
      <c r="I7" s="28">
        <f t="shared" si="8"/>
        <v>2085015</v>
      </c>
      <c r="J7" s="28">
        <f t="shared" si="8"/>
        <v>2257690</v>
      </c>
      <c r="K7" s="28">
        <f t="shared" si="8"/>
        <v>2235920</v>
      </c>
      <c r="L7" s="28">
        <f t="shared" si="8"/>
        <v>76451</v>
      </c>
      <c r="M7" s="28">
        <f t="shared" si="8"/>
        <v>0</v>
      </c>
      <c r="N7" s="28">
        <f t="shared" si="8"/>
        <v>0</v>
      </c>
      <c r="O7" s="28">
        <f t="shared" si="8"/>
        <v>0</v>
      </c>
      <c r="P7" s="28">
        <f t="shared" si="8"/>
        <v>2312371</v>
      </c>
      <c r="Q7" s="28">
        <f t="shared" si="8"/>
        <v>430434.42000000004</v>
      </c>
      <c r="R7" s="29">
        <f t="shared" si="1"/>
        <v>0.1861441870703274</v>
      </c>
      <c r="S7" s="28">
        <f>SUM(S3:S6)</f>
        <v>0</v>
      </c>
      <c r="T7" s="29">
        <f t="shared" si="2"/>
        <v>0</v>
      </c>
      <c r="U7" s="28">
        <f>SUM(U3:U6)</f>
        <v>0</v>
      </c>
      <c r="V7" s="29">
        <f t="shared" si="3"/>
        <v>0</v>
      </c>
      <c r="W7" s="28">
        <f>SUM(W3:W6)</f>
        <v>0</v>
      </c>
      <c r="X7" s="29">
        <f t="shared" si="4"/>
        <v>0</v>
      </c>
      <c r="Y7" s="28">
        <f>SUM(Y3:Y6)</f>
        <v>2206103</v>
      </c>
      <c r="Z7" s="28">
        <f>SUM(Z3:Z6)</f>
        <v>2234735</v>
      </c>
    </row>
    <row r="8" spans="1:26" ht="13.9" customHeight="1" x14ac:dyDescent="0.25">
      <c r="D8" s="10"/>
      <c r="E8" s="24">
        <v>111</v>
      </c>
      <c r="F8" s="24" t="s">
        <v>22</v>
      </c>
      <c r="G8" s="25">
        <f t="shared" ref="G8:Q8" si="9">G517</f>
        <v>190577.56</v>
      </c>
      <c r="H8" s="25">
        <f t="shared" si="9"/>
        <v>150933.32999999999</v>
      </c>
      <c r="I8" s="25">
        <f t="shared" si="9"/>
        <v>962500</v>
      </c>
      <c r="J8" s="25">
        <f t="shared" si="9"/>
        <v>199376</v>
      </c>
      <c r="K8" s="25">
        <f t="shared" si="9"/>
        <v>998572</v>
      </c>
      <c r="L8" s="25">
        <f t="shared" si="9"/>
        <v>0</v>
      </c>
      <c r="M8" s="25">
        <f t="shared" si="9"/>
        <v>0</v>
      </c>
      <c r="N8" s="25">
        <f t="shared" si="9"/>
        <v>0</v>
      </c>
      <c r="O8" s="25">
        <f t="shared" si="9"/>
        <v>0</v>
      </c>
      <c r="P8" s="25">
        <f t="shared" si="9"/>
        <v>998572</v>
      </c>
      <c r="Q8" s="25">
        <f t="shared" si="9"/>
        <v>161491.31</v>
      </c>
      <c r="R8" s="26">
        <f t="shared" si="1"/>
        <v>0.16172224937210336</v>
      </c>
      <c r="S8" s="25">
        <f>S517</f>
        <v>0</v>
      </c>
      <c r="T8" s="26">
        <f t="shared" si="2"/>
        <v>0</v>
      </c>
      <c r="U8" s="25">
        <f>U517</f>
        <v>0</v>
      </c>
      <c r="V8" s="26">
        <f t="shared" si="3"/>
        <v>0</v>
      </c>
      <c r="W8" s="25">
        <f>W517</f>
        <v>0</v>
      </c>
      <c r="X8" s="26">
        <f t="shared" si="4"/>
        <v>0</v>
      </c>
      <c r="Y8" s="25">
        <f t="shared" ref="Y8:Z10" si="10">Y517</f>
        <v>0</v>
      </c>
      <c r="Z8" s="25">
        <f t="shared" si="10"/>
        <v>0</v>
      </c>
    </row>
    <row r="9" spans="1:26" ht="13.9" customHeight="1" x14ac:dyDescent="0.25">
      <c r="D9" s="10"/>
      <c r="E9" s="24">
        <v>41</v>
      </c>
      <c r="F9" s="24" t="s">
        <v>23</v>
      </c>
      <c r="G9" s="25">
        <f t="shared" ref="G9:Q9" si="11">G518</f>
        <v>776952.59000000008</v>
      </c>
      <c r="H9" s="25">
        <f t="shared" si="11"/>
        <v>614423.27</v>
      </c>
      <c r="I9" s="25">
        <f t="shared" si="11"/>
        <v>512000</v>
      </c>
      <c r="J9" s="25">
        <f t="shared" si="11"/>
        <v>378964</v>
      </c>
      <c r="K9" s="25">
        <f t="shared" si="11"/>
        <v>666456</v>
      </c>
      <c r="L9" s="25">
        <f t="shared" si="11"/>
        <v>0</v>
      </c>
      <c r="M9" s="25">
        <f t="shared" si="11"/>
        <v>0</v>
      </c>
      <c r="N9" s="25">
        <f t="shared" si="11"/>
        <v>0</v>
      </c>
      <c r="O9" s="25">
        <f t="shared" si="11"/>
        <v>0</v>
      </c>
      <c r="P9" s="25">
        <f t="shared" si="11"/>
        <v>666456</v>
      </c>
      <c r="Q9" s="25">
        <f t="shared" si="11"/>
        <v>1284.6000000000058</v>
      </c>
      <c r="R9" s="26">
        <f t="shared" si="1"/>
        <v>1.9275090928733568E-3</v>
      </c>
      <c r="S9" s="25">
        <f>S518</f>
        <v>0</v>
      </c>
      <c r="T9" s="26">
        <f t="shared" si="2"/>
        <v>0</v>
      </c>
      <c r="U9" s="25">
        <f>U518</f>
        <v>0</v>
      </c>
      <c r="V9" s="26">
        <f t="shared" si="3"/>
        <v>0</v>
      </c>
      <c r="W9" s="25">
        <f>W518</f>
        <v>0</v>
      </c>
      <c r="X9" s="26">
        <f t="shared" si="4"/>
        <v>0</v>
      </c>
      <c r="Y9" s="25">
        <f t="shared" si="10"/>
        <v>626228</v>
      </c>
      <c r="Z9" s="25">
        <f t="shared" si="10"/>
        <v>665170</v>
      </c>
    </row>
    <row r="10" spans="1:26" ht="13.9" customHeight="1" x14ac:dyDescent="0.25">
      <c r="D10" s="10"/>
      <c r="E10" s="24">
        <v>71</v>
      </c>
      <c r="F10" s="24" t="s">
        <v>24</v>
      </c>
      <c r="G10" s="25">
        <f t="shared" ref="G10:Q10" si="12">G519</f>
        <v>0</v>
      </c>
      <c r="H10" s="25">
        <f t="shared" si="12"/>
        <v>0</v>
      </c>
      <c r="I10" s="25">
        <f t="shared" si="12"/>
        <v>0</v>
      </c>
      <c r="J10" s="25">
        <f t="shared" si="12"/>
        <v>0</v>
      </c>
      <c r="K10" s="25">
        <f t="shared" si="12"/>
        <v>6000</v>
      </c>
      <c r="L10" s="25">
        <f t="shared" si="12"/>
        <v>0</v>
      </c>
      <c r="M10" s="25">
        <f t="shared" si="12"/>
        <v>0</v>
      </c>
      <c r="N10" s="25">
        <f t="shared" si="12"/>
        <v>0</v>
      </c>
      <c r="O10" s="25">
        <f t="shared" si="12"/>
        <v>0</v>
      </c>
      <c r="P10" s="25">
        <f t="shared" si="12"/>
        <v>6000</v>
      </c>
      <c r="Q10" s="25">
        <f t="shared" si="12"/>
        <v>0</v>
      </c>
      <c r="R10" s="26">
        <f t="shared" si="1"/>
        <v>0</v>
      </c>
      <c r="S10" s="25">
        <f>S519</f>
        <v>0</v>
      </c>
      <c r="T10" s="26">
        <f t="shared" si="2"/>
        <v>0</v>
      </c>
      <c r="U10" s="25">
        <f>U519</f>
        <v>0</v>
      </c>
      <c r="V10" s="26">
        <f t="shared" si="3"/>
        <v>0</v>
      </c>
      <c r="W10" s="25">
        <f>W519</f>
        <v>0</v>
      </c>
      <c r="X10" s="26">
        <f t="shared" si="4"/>
        <v>0</v>
      </c>
      <c r="Y10" s="25">
        <f t="shared" si="10"/>
        <v>0</v>
      </c>
      <c r="Z10" s="25">
        <f t="shared" si="10"/>
        <v>0</v>
      </c>
    </row>
    <row r="11" spans="1:26" ht="13.9" customHeight="1" x14ac:dyDescent="0.25">
      <c r="D11" s="10"/>
      <c r="E11" s="24"/>
      <c r="F11" s="27" t="s">
        <v>125</v>
      </c>
      <c r="G11" s="28">
        <f t="shared" ref="G11:Q11" si="13">SUM(G8:G10)</f>
        <v>967530.15000000014</v>
      </c>
      <c r="H11" s="28">
        <f t="shared" si="13"/>
        <v>765356.6</v>
      </c>
      <c r="I11" s="28">
        <f t="shared" si="13"/>
        <v>1474500</v>
      </c>
      <c r="J11" s="28">
        <f t="shared" si="13"/>
        <v>578340</v>
      </c>
      <c r="K11" s="28">
        <f t="shared" si="13"/>
        <v>1671028</v>
      </c>
      <c r="L11" s="28">
        <f t="shared" si="13"/>
        <v>0</v>
      </c>
      <c r="M11" s="28">
        <f t="shared" si="13"/>
        <v>0</v>
      </c>
      <c r="N11" s="28">
        <f t="shared" si="13"/>
        <v>0</v>
      </c>
      <c r="O11" s="28">
        <f t="shared" si="13"/>
        <v>0</v>
      </c>
      <c r="P11" s="28">
        <f t="shared" si="13"/>
        <v>1671028</v>
      </c>
      <c r="Q11" s="28">
        <f t="shared" si="13"/>
        <v>162775.91</v>
      </c>
      <c r="R11" s="29">
        <f t="shared" si="1"/>
        <v>9.7410641832452835E-2</v>
      </c>
      <c r="S11" s="28">
        <f>SUM(S8:S10)</f>
        <v>0</v>
      </c>
      <c r="T11" s="29">
        <f t="shared" si="2"/>
        <v>0</v>
      </c>
      <c r="U11" s="28">
        <f>SUM(U8:U10)</f>
        <v>0</v>
      </c>
      <c r="V11" s="29">
        <f t="shared" si="3"/>
        <v>0</v>
      </c>
      <c r="W11" s="28">
        <f>SUM(W8:W10)</f>
        <v>0</v>
      </c>
      <c r="X11" s="29">
        <f t="shared" si="4"/>
        <v>0</v>
      </c>
      <c r="Y11" s="28">
        <f>SUM(Y8:Y10)</f>
        <v>626228</v>
      </c>
      <c r="Z11" s="28">
        <f>SUM(Z8:Z10)</f>
        <v>665170</v>
      </c>
    </row>
    <row r="12" spans="1:26" ht="13.9" customHeight="1" x14ac:dyDescent="0.25">
      <c r="D12" s="10"/>
      <c r="E12" s="24">
        <v>71</v>
      </c>
      <c r="F12" s="24" t="s">
        <v>24</v>
      </c>
      <c r="G12" s="25">
        <f t="shared" ref="G12:Q12" si="14">G622</f>
        <v>300</v>
      </c>
      <c r="H12" s="25">
        <f t="shared" si="14"/>
        <v>4020</v>
      </c>
      <c r="I12" s="25">
        <f t="shared" si="14"/>
        <v>0</v>
      </c>
      <c r="J12" s="25">
        <f t="shared" si="14"/>
        <v>49900</v>
      </c>
      <c r="K12" s="25">
        <f t="shared" si="14"/>
        <v>6000</v>
      </c>
      <c r="L12" s="25">
        <f t="shared" si="14"/>
        <v>0</v>
      </c>
      <c r="M12" s="25">
        <f t="shared" si="14"/>
        <v>0</v>
      </c>
      <c r="N12" s="25">
        <f t="shared" si="14"/>
        <v>0</v>
      </c>
      <c r="O12" s="25">
        <f t="shared" si="14"/>
        <v>0</v>
      </c>
      <c r="P12" s="25">
        <f t="shared" si="14"/>
        <v>6000</v>
      </c>
      <c r="Q12" s="25">
        <f t="shared" si="14"/>
        <v>47.64</v>
      </c>
      <c r="R12" s="26">
        <f t="shared" si="1"/>
        <v>7.9400000000000009E-3</v>
      </c>
      <c r="S12" s="25">
        <f>S622</f>
        <v>0</v>
      </c>
      <c r="T12" s="26">
        <f t="shared" si="2"/>
        <v>0</v>
      </c>
      <c r="U12" s="25">
        <f>U622</f>
        <v>0</v>
      </c>
      <c r="V12" s="26">
        <f t="shared" si="3"/>
        <v>0</v>
      </c>
      <c r="W12" s="25">
        <f>W622</f>
        <v>0</v>
      </c>
      <c r="X12" s="26">
        <f t="shared" si="4"/>
        <v>0</v>
      </c>
      <c r="Y12" s="25">
        <f>Y622</f>
        <v>0</v>
      </c>
      <c r="Z12" s="25">
        <f>Z622</f>
        <v>0</v>
      </c>
    </row>
    <row r="13" spans="1:26" ht="13.9" customHeight="1" x14ac:dyDescent="0.25">
      <c r="D13" s="10"/>
      <c r="E13" s="24"/>
      <c r="F13" s="27" t="s">
        <v>28</v>
      </c>
      <c r="G13" s="28">
        <f t="shared" ref="G13:Q13" si="15">SUM(G12)</f>
        <v>300</v>
      </c>
      <c r="H13" s="28">
        <f t="shared" si="15"/>
        <v>4020</v>
      </c>
      <c r="I13" s="28">
        <f t="shared" si="15"/>
        <v>0</v>
      </c>
      <c r="J13" s="28">
        <f t="shared" si="15"/>
        <v>49900</v>
      </c>
      <c r="K13" s="28">
        <f t="shared" si="15"/>
        <v>6000</v>
      </c>
      <c r="L13" s="28">
        <f t="shared" si="15"/>
        <v>0</v>
      </c>
      <c r="M13" s="28">
        <f t="shared" si="15"/>
        <v>0</v>
      </c>
      <c r="N13" s="28">
        <f t="shared" si="15"/>
        <v>0</v>
      </c>
      <c r="O13" s="28">
        <f t="shared" si="15"/>
        <v>0</v>
      </c>
      <c r="P13" s="28">
        <f t="shared" si="15"/>
        <v>6000</v>
      </c>
      <c r="Q13" s="28">
        <f t="shared" si="15"/>
        <v>47.64</v>
      </c>
      <c r="R13" s="29">
        <f t="shared" si="1"/>
        <v>7.9400000000000009E-3</v>
      </c>
      <c r="S13" s="28">
        <f>SUM(S12)</f>
        <v>0</v>
      </c>
      <c r="T13" s="29">
        <f t="shared" si="2"/>
        <v>0</v>
      </c>
      <c r="U13" s="28">
        <f>SUM(U12)</f>
        <v>0</v>
      </c>
      <c r="V13" s="29">
        <f t="shared" si="3"/>
        <v>0</v>
      </c>
      <c r="W13" s="28">
        <f>SUM(W12)</f>
        <v>0</v>
      </c>
      <c r="X13" s="29">
        <f t="shared" si="4"/>
        <v>0</v>
      </c>
      <c r="Y13" s="28">
        <f>SUM(Y12)</f>
        <v>0</v>
      </c>
      <c r="Z13" s="28">
        <f>SUM(Z12)</f>
        <v>0</v>
      </c>
    </row>
    <row r="14" spans="1:26" ht="13.9" customHeight="1" x14ac:dyDescent="0.25">
      <c r="D14" s="10"/>
      <c r="E14" s="24">
        <v>111</v>
      </c>
      <c r="F14" s="24" t="s">
        <v>22</v>
      </c>
      <c r="G14" s="25">
        <f t="shared" ref="G14:Q14" si="16">G3+G8</f>
        <v>982263.04</v>
      </c>
      <c r="H14" s="25">
        <f t="shared" si="16"/>
        <v>1119383.3</v>
      </c>
      <c r="I14" s="25">
        <f t="shared" si="16"/>
        <v>1825251</v>
      </c>
      <c r="J14" s="25">
        <f t="shared" si="16"/>
        <v>1254198</v>
      </c>
      <c r="K14" s="25">
        <f t="shared" si="16"/>
        <v>2256155</v>
      </c>
      <c r="L14" s="25">
        <f t="shared" si="16"/>
        <v>57489</v>
      </c>
      <c r="M14" s="25">
        <f t="shared" si="16"/>
        <v>0</v>
      </c>
      <c r="N14" s="25">
        <f t="shared" si="16"/>
        <v>0</v>
      </c>
      <c r="O14" s="25">
        <f t="shared" si="16"/>
        <v>0</v>
      </c>
      <c r="P14" s="25">
        <f t="shared" si="16"/>
        <v>2313644</v>
      </c>
      <c r="Q14" s="25">
        <f t="shared" si="16"/>
        <v>394047.89</v>
      </c>
      <c r="R14" s="26">
        <f t="shared" si="1"/>
        <v>0.17031483235968889</v>
      </c>
      <c r="S14" s="25">
        <f>S3+S8</f>
        <v>0</v>
      </c>
      <c r="T14" s="26">
        <f t="shared" si="2"/>
        <v>0</v>
      </c>
      <c r="U14" s="25">
        <f>U3+U8</f>
        <v>0</v>
      </c>
      <c r="V14" s="26">
        <f t="shared" si="3"/>
        <v>0</v>
      </c>
      <c r="W14" s="25">
        <f>W3+W8</f>
        <v>0</v>
      </c>
      <c r="X14" s="26">
        <f t="shared" si="4"/>
        <v>0</v>
      </c>
      <c r="Y14" s="25">
        <f>Y3+Y8</f>
        <v>1203419</v>
      </c>
      <c r="Z14" s="25">
        <f>Z3+Z8</f>
        <v>1206374</v>
      </c>
    </row>
    <row r="15" spans="1:26" ht="13.9" customHeight="1" x14ac:dyDescent="0.25">
      <c r="D15" s="10"/>
      <c r="E15" s="24">
        <v>41</v>
      </c>
      <c r="F15" s="24" t="s">
        <v>23</v>
      </c>
      <c r="G15" s="25">
        <f t="shared" ref="G15:Q15" si="17">G4+G9</f>
        <v>1682753.6400000001</v>
      </c>
      <c r="H15" s="25">
        <f t="shared" si="17"/>
        <v>1531354.14</v>
      </c>
      <c r="I15" s="25">
        <f t="shared" si="17"/>
        <v>1630736</v>
      </c>
      <c r="J15" s="25">
        <f t="shared" si="17"/>
        <v>1486207</v>
      </c>
      <c r="K15" s="25">
        <f t="shared" si="17"/>
        <v>1546571</v>
      </c>
      <c r="L15" s="25">
        <f t="shared" si="17"/>
        <v>6052</v>
      </c>
      <c r="M15" s="25">
        <f t="shared" si="17"/>
        <v>0</v>
      </c>
      <c r="N15" s="25">
        <f t="shared" si="17"/>
        <v>0</v>
      </c>
      <c r="O15" s="25">
        <f t="shared" si="17"/>
        <v>0</v>
      </c>
      <c r="P15" s="25">
        <f t="shared" si="17"/>
        <v>1552623</v>
      </c>
      <c r="Q15" s="25">
        <f t="shared" si="17"/>
        <v>187984.61000000002</v>
      </c>
      <c r="R15" s="26">
        <f t="shared" si="1"/>
        <v>0.12107550255277683</v>
      </c>
      <c r="S15" s="25">
        <f>S4+S9</f>
        <v>0</v>
      </c>
      <c r="T15" s="26">
        <f t="shared" si="2"/>
        <v>0</v>
      </c>
      <c r="U15" s="25">
        <f>U4+U9</f>
        <v>0</v>
      </c>
      <c r="V15" s="26">
        <f t="shared" si="3"/>
        <v>0</v>
      </c>
      <c r="W15" s="25">
        <f>W4+W9</f>
        <v>0</v>
      </c>
      <c r="X15" s="26">
        <f t="shared" si="4"/>
        <v>0</v>
      </c>
      <c r="Y15" s="25">
        <f>Y4+Y9</f>
        <v>1530117</v>
      </c>
      <c r="Z15" s="25">
        <f>Z4+Z9</f>
        <v>1594736</v>
      </c>
    </row>
    <row r="16" spans="1:26" ht="13.9" customHeight="1" x14ac:dyDescent="0.25">
      <c r="D16" s="10"/>
      <c r="E16" s="24">
        <v>71</v>
      </c>
      <c r="F16" s="24" t="s">
        <v>24</v>
      </c>
      <c r="G16" s="25">
        <f t="shared" ref="G16:Q16" si="18">G5+G10+G12</f>
        <v>3300</v>
      </c>
      <c r="H16" s="25">
        <f t="shared" si="18"/>
        <v>7020</v>
      </c>
      <c r="I16" s="25">
        <f t="shared" si="18"/>
        <v>3000</v>
      </c>
      <c r="J16" s="25">
        <f t="shared" si="18"/>
        <v>52900</v>
      </c>
      <c r="K16" s="25">
        <f t="shared" si="18"/>
        <v>15000</v>
      </c>
      <c r="L16" s="25">
        <f t="shared" si="18"/>
        <v>0</v>
      </c>
      <c r="M16" s="25">
        <f t="shared" si="18"/>
        <v>0</v>
      </c>
      <c r="N16" s="25">
        <f t="shared" si="18"/>
        <v>0</v>
      </c>
      <c r="O16" s="25">
        <f t="shared" si="18"/>
        <v>0</v>
      </c>
      <c r="P16" s="25">
        <f t="shared" si="18"/>
        <v>15000</v>
      </c>
      <c r="Q16" s="25">
        <f t="shared" si="18"/>
        <v>47.64</v>
      </c>
      <c r="R16" s="26">
        <f t="shared" si="1"/>
        <v>3.176E-3</v>
      </c>
      <c r="S16" s="25">
        <f>S5+S10+S12</f>
        <v>0</v>
      </c>
      <c r="T16" s="26">
        <f t="shared" si="2"/>
        <v>0</v>
      </c>
      <c r="U16" s="25">
        <f>U5+U10+U12</f>
        <v>0</v>
      </c>
      <c r="V16" s="26">
        <f t="shared" si="3"/>
        <v>0</v>
      </c>
      <c r="W16" s="25">
        <f>W5+W10+W12</f>
        <v>0</v>
      </c>
      <c r="X16" s="26">
        <f t="shared" si="4"/>
        <v>0</v>
      </c>
      <c r="Y16" s="25">
        <f>Y5+Y10+Y12</f>
        <v>3000</v>
      </c>
      <c r="Z16" s="25">
        <f>Z5+Z10+Z12</f>
        <v>3000</v>
      </c>
    </row>
    <row r="17" spans="1:26" ht="13.9" customHeight="1" x14ac:dyDescent="0.25">
      <c r="D17" s="10"/>
      <c r="E17" s="24">
        <v>72</v>
      </c>
      <c r="F17" s="24" t="s">
        <v>25</v>
      </c>
      <c r="G17" s="25">
        <f t="shared" ref="G17:Q17" si="19">G6</f>
        <v>74248.110000000015</v>
      </c>
      <c r="H17" s="25">
        <f t="shared" si="19"/>
        <v>100119.76</v>
      </c>
      <c r="I17" s="25">
        <f t="shared" si="19"/>
        <v>100528</v>
      </c>
      <c r="J17" s="25">
        <f t="shared" si="19"/>
        <v>92625</v>
      </c>
      <c r="K17" s="25">
        <f t="shared" si="19"/>
        <v>95222</v>
      </c>
      <c r="L17" s="25">
        <f t="shared" si="19"/>
        <v>12910</v>
      </c>
      <c r="M17" s="25">
        <f t="shared" si="19"/>
        <v>0</v>
      </c>
      <c r="N17" s="25">
        <f t="shared" si="19"/>
        <v>0</v>
      </c>
      <c r="O17" s="25">
        <f t="shared" si="19"/>
        <v>0</v>
      </c>
      <c r="P17" s="25">
        <f t="shared" si="19"/>
        <v>108132</v>
      </c>
      <c r="Q17" s="25">
        <f t="shared" si="19"/>
        <v>11177.83</v>
      </c>
      <c r="R17" s="26">
        <f t="shared" si="1"/>
        <v>0.10337208226981837</v>
      </c>
      <c r="S17" s="25">
        <f>S6</f>
        <v>0</v>
      </c>
      <c r="T17" s="26">
        <f t="shared" si="2"/>
        <v>0</v>
      </c>
      <c r="U17" s="25">
        <f>U6</f>
        <v>0</v>
      </c>
      <c r="V17" s="26">
        <f t="shared" si="3"/>
        <v>0</v>
      </c>
      <c r="W17" s="25">
        <f>W6</f>
        <v>0</v>
      </c>
      <c r="X17" s="26">
        <f t="shared" si="4"/>
        <v>0</v>
      </c>
      <c r="Y17" s="25">
        <f>Y6</f>
        <v>95795</v>
      </c>
      <c r="Z17" s="25">
        <f>Z6</f>
        <v>95795</v>
      </c>
    </row>
    <row r="18" spans="1:26" ht="13.9" customHeight="1" x14ac:dyDescent="0.25">
      <c r="D18" s="30"/>
      <c r="E18" s="31"/>
      <c r="F18" s="27" t="s">
        <v>126</v>
      </c>
      <c r="G18" s="28">
        <f t="shared" ref="G18:Q18" si="20">SUM(G14:G17)</f>
        <v>2742564.79</v>
      </c>
      <c r="H18" s="28">
        <f t="shared" si="20"/>
        <v>2757877.1999999997</v>
      </c>
      <c r="I18" s="28">
        <f t="shared" si="20"/>
        <v>3559515</v>
      </c>
      <c r="J18" s="28">
        <f t="shared" si="20"/>
        <v>2885930</v>
      </c>
      <c r="K18" s="28">
        <f t="shared" si="20"/>
        <v>3912948</v>
      </c>
      <c r="L18" s="28">
        <f t="shared" si="20"/>
        <v>76451</v>
      </c>
      <c r="M18" s="28">
        <f t="shared" si="20"/>
        <v>0</v>
      </c>
      <c r="N18" s="28">
        <f t="shared" si="20"/>
        <v>0</v>
      </c>
      <c r="O18" s="28">
        <f t="shared" si="20"/>
        <v>0</v>
      </c>
      <c r="P18" s="28">
        <f t="shared" si="20"/>
        <v>3989399</v>
      </c>
      <c r="Q18" s="28">
        <f t="shared" si="20"/>
        <v>593257.97</v>
      </c>
      <c r="R18" s="29">
        <f t="shared" si="1"/>
        <v>0.14870860748699238</v>
      </c>
      <c r="S18" s="28">
        <f>SUM(S14:S17)</f>
        <v>0</v>
      </c>
      <c r="T18" s="29">
        <f t="shared" si="2"/>
        <v>0</v>
      </c>
      <c r="U18" s="28">
        <f>SUM(U14:U17)</f>
        <v>0</v>
      </c>
      <c r="V18" s="29">
        <f t="shared" si="3"/>
        <v>0</v>
      </c>
      <c r="W18" s="28">
        <f>SUM(W14:W17)</f>
        <v>0</v>
      </c>
      <c r="X18" s="29">
        <f t="shared" si="4"/>
        <v>0</v>
      </c>
      <c r="Y18" s="28">
        <f>SUM(Y14:Y17)</f>
        <v>2832331</v>
      </c>
      <c r="Z18" s="28">
        <f>SUM(Z14:Z17)</f>
        <v>2899905</v>
      </c>
    </row>
    <row r="20" spans="1:26" ht="13.9" customHeight="1" x14ac:dyDescent="0.25">
      <c r="D20" s="9" t="s">
        <v>127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9" customHeight="1" x14ac:dyDescent="0.25">
      <c r="D21" s="20"/>
      <c r="E21" s="20"/>
      <c r="F21" s="20"/>
      <c r="G21" s="21" t="s">
        <v>1</v>
      </c>
      <c r="H21" s="21" t="s">
        <v>2</v>
      </c>
      <c r="I21" s="21" t="s">
        <v>3</v>
      </c>
      <c r="J21" s="21" t="s">
        <v>4</v>
      </c>
      <c r="K21" s="21" t="s">
        <v>5</v>
      </c>
      <c r="L21" s="21" t="s">
        <v>6</v>
      </c>
      <c r="M21" s="21" t="s">
        <v>7</v>
      </c>
      <c r="N21" s="21" t="s">
        <v>8</v>
      </c>
      <c r="O21" s="21" t="s">
        <v>9</v>
      </c>
      <c r="P21" s="21" t="s">
        <v>123</v>
      </c>
      <c r="Q21" s="21" t="s">
        <v>11</v>
      </c>
      <c r="R21" s="22" t="s">
        <v>12</v>
      </c>
      <c r="S21" s="21" t="s">
        <v>13</v>
      </c>
      <c r="T21" s="22" t="s">
        <v>14</v>
      </c>
      <c r="U21" s="21" t="s">
        <v>15</v>
      </c>
      <c r="V21" s="22" t="s">
        <v>16</v>
      </c>
      <c r="W21" s="21" t="s">
        <v>17</v>
      </c>
      <c r="X21" s="22" t="s">
        <v>18</v>
      </c>
      <c r="Y21" s="21" t="s">
        <v>19</v>
      </c>
      <c r="Z21" s="21" t="s">
        <v>20</v>
      </c>
    </row>
    <row r="22" spans="1:26" ht="13.9" customHeight="1" x14ac:dyDescent="0.25">
      <c r="A22" s="15">
        <v>1</v>
      </c>
      <c r="D22" s="8" t="s">
        <v>21</v>
      </c>
      <c r="E22" s="35">
        <v>111</v>
      </c>
      <c r="F22" s="35" t="s">
        <v>45</v>
      </c>
      <c r="G22" s="36">
        <f t="shared" ref="G22:Q22" si="21">G29+G125+G134+G150</f>
        <v>20286.989999999998</v>
      </c>
      <c r="H22" s="36">
        <f t="shared" si="21"/>
        <v>24550.83</v>
      </c>
      <c r="I22" s="36">
        <f t="shared" si="21"/>
        <v>16858</v>
      </c>
      <c r="J22" s="36">
        <f t="shared" si="21"/>
        <v>15979</v>
      </c>
      <c r="K22" s="36">
        <f t="shared" si="21"/>
        <v>8334</v>
      </c>
      <c r="L22" s="36">
        <f t="shared" si="21"/>
        <v>74</v>
      </c>
      <c r="M22" s="36">
        <f t="shared" si="21"/>
        <v>0</v>
      </c>
      <c r="N22" s="36">
        <f t="shared" si="21"/>
        <v>0</v>
      </c>
      <c r="O22" s="36">
        <f t="shared" si="21"/>
        <v>0</v>
      </c>
      <c r="P22" s="36">
        <f t="shared" si="21"/>
        <v>8408</v>
      </c>
      <c r="Q22" s="36">
        <f t="shared" si="21"/>
        <v>1685.02</v>
      </c>
      <c r="R22" s="37">
        <f>IFERROR(Q22/$P22,0)</f>
        <v>0.20040675547098002</v>
      </c>
      <c r="S22" s="36">
        <f>S29+S125+S134+S150</f>
        <v>0</v>
      </c>
      <c r="T22" s="37">
        <f>IFERROR(S22/$P22,0)</f>
        <v>0</v>
      </c>
      <c r="U22" s="36">
        <f>U29+U125+U134+U150</f>
        <v>0</v>
      </c>
      <c r="V22" s="37">
        <f>IFERROR(U22/$P22,0)</f>
        <v>0</v>
      </c>
      <c r="W22" s="36">
        <f>W29+W125+W134+W150</f>
        <v>0</v>
      </c>
      <c r="X22" s="37">
        <f>IFERROR(W22/$P22,0)</f>
        <v>0</v>
      </c>
      <c r="Y22" s="36">
        <f>Y29+Y125+Y134+Y150</f>
        <v>15979</v>
      </c>
      <c r="Z22" s="36">
        <f>Z29+Z125+Z134+Z150</f>
        <v>12834</v>
      </c>
    </row>
    <row r="23" spans="1:26" ht="13.9" customHeight="1" x14ac:dyDescent="0.25">
      <c r="A23" s="15">
        <v>1</v>
      </c>
      <c r="D23" s="8"/>
      <c r="E23" s="35">
        <v>41</v>
      </c>
      <c r="F23" s="35" t="s">
        <v>23</v>
      </c>
      <c r="G23" s="36">
        <f t="shared" ref="G23:Q23" si="22">G30+G128+G137</f>
        <v>261912.26000000004</v>
      </c>
      <c r="H23" s="36">
        <f t="shared" si="22"/>
        <v>286839.79000000004</v>
      </c>
      <c r="I23" s="36">
        <f t="shared" si="22"/>
        <v>355120</v>
      </c>
      <c r="J23" s="36">
        <f t="shared" si="22"/>
        <v>338160</v>
      </c>
      <c r="K23" s="36">
        <f t="shared" si="22"/>
        <v>367242</v>
      </c>
      <c r="L23" s="36">
        <f t="shared" si="22"/>
        <v>5352</v>
      </c>
      <c r="M23" s="36">
        <f t="shared" si="22"/>
        <v>0</v>
      </c>
      <c r="N23" s="36">
        <f t="shared" si="22"/>
        <v>0</v>
      </c>
      <c r="O23" s="36">
        <f t="shared" si="22"/>
        <v>0</v>
      </c>
      <c r="P23" s="36">
        <f t="shared" si="22"/>
        <v>372594</v>
      </c>
      <c r="Q23" s="36">
        <f t="shared" si="22"/>
        <v>86988.62</v>
      </c>
      <c r="R23" s="37">
        <f>IFERROR(Q23/$P23,0)</f>
        <v>0.23346758133517984</v>
      </c>
      <c r="S23" s="36">
        <f>S30+S128+S137</f>
        <v>0</v>
      </c>
      <c r="T23" s="37">
        <f>IFERROR(S23/$P23,0)</f>
        <v>0</v>
      </c>
      <c r="U23" s="36">
        <f>U30+U128+U137</f>
        <v>0</v>
      </c>
      <c r="V23" s="37">
        <f>IFERROR(U23/$P23,0)</f>
        <v>0</v>
      </c>
      <c r="W23" s="36">
        <f>W30+W128+W137</f>
        <v>0</v>
      </c>
      <c r="X23" s="37">
        <f>IFERROR(W23/$P23,0)</f>
        <v>0</v>
      </c>
      <c r="Y23" s="36">
        <f>Y30+Y128+Y137</f>
        <v>380533</v>
      </c>
      <c r="Z23" s="36">
        <f>Z30+Z128+Z137</f>
        <v>398264</v>
      </c>
    </row>
    <row r="24" spans="1:26" ht="13.9" customHeight="1" x14ac:dyDescent="0.25">
      <c r="A24" s="15">
        <v>1</v>
      </c>
      <c r="D24" s="8"/>
      <c r="E24" s="35">
        <v>72</v>
      </c>
      <c r="F24" s="35" t="s">
        <v>25</v>
      </c>
      <c r="G24" s="36">
        <f t="shared" ref="G24:Q24" si="23">G31</f>
        <v>1134.96</v>
      </c>
      <c r="H24" s="36">
        <f t="shared" si="23"/>
        <v>1184.8699999999999</v>
      </c>
      <c r="I24" s="36">
        <f t="shared" si="23"/>
        <v>1233</v>
      </c>
      <c r="J24" s="36">
        <f t="shared" si="23"/>
        <v>1198</v>
      </c>
      <c r="K24" s="36">
        <f t="shared" si="23"/>
        <v>1405</v>
      </c>
      <c r="L24" s="36">
        <f t="shared" si="23"/>
        <v>0</v>
      </c>
      <c r="M24" s="36">
        <f t="shared" si="23"/>
        <v>0</v>
      </c>
      <c r="N24" s="36">
        <f t="shared" si="23"/>
        <v>0</v>
      </c>
      <c r="O24" s="36">
        <f t="shared" si="23"/>
        <v>0</v>
      </c>
      <c r="P24" s="36">
        <f t="shared" si="23"/>
        <v>1405</v>
      </c>
      <c r="Q24" s="36">
        <f t="shared" si="23"/>
        <v>0</v>
      </c>
      <c r="R24" s="37">
        <f>IFERROR(Q24/$P24,0)</f>
        <v>0</v>
      </c>
      <c r="S24" s="36">
        <f>S31</f>
        <v>0</v>
      </c>
      <c r="T24" s="37">
        <f>IFERROR(S24/$P24,0)</f>
        <v>0</v>
      </c>
      <c r="U24" s="36">
        <f>U31</f>
        <v>0</v>
      </c>
      <c r="V24" s="37">
        <f>IFERROR(U24/$P24,0)</f>
        <v>0</v>
      </c>
      <c r="W24" s="36">
        <f>W31</f>
        <v>0</v>
      </c>
      <c r="X24" s="37">
        <f>IFERROR(W24/$P24,0)</f>
        <v>0</v>
      </c>
      <c r="Y24" s="36">
        <f>Y31</f>
        <v>1405</v>
      </c>
      <c r="Z24" s="36">
        <f>Z31</f>
        <v>1405</v>
      </c>
    </row>
    <row r="25" spans="1:26" ht="13.9" customHeight="1" x14ac:dyDescent="0.25">
      <c r="A25" s="15">
        <v>1</v>
      </c>
      <c r="D25" s="30"/>
      <c r="E25" s="31"/>
      <c r="F25" s="38" t="s">
        <v>126</v>
      </c>
      <c r="G25" s="39">
        <f t="shared" ref="G25:Q25" si="24">SUM(G22:G24)</f>
        <v>283334.21000000008</v>
      </c>
      <c r="H25" s="39">
        <f t="shared" si="24"/>
        <v>312575.49000000005</v>
      </c>
      <c r="I25" s="39">
        <f t="shared" si="24"/>
        <v>373211</v>
      </c>
      <c r="J25" s="39">
        <f t="shared" si="24"/>
        <v>355337</v>
      </c>
      <c r="K25" s="39">
        <f t="shared" si="24"/>
        <v>376981</v>
      </c>
      <c r="L25" s="39">
        <f t="shared" si="24"/>
        <v>5426</v>
      </c>
      <c r="M25" s="39">
        <f t="shared" si="24"/>
        <v>0</v>
      </c>
      <c r="N25" s="39">
        <f t="shared" si="24"/>
        <v>0</v>
      </c>
      <c r="O25" s="39">
        <f t="shared" si="24"/>
        <v>0</v>
      </c>
      <c r="P25" s="39">
        <f t="shared" si="24"/>
        <v>382407</v>
      </c>
      <c r="Q25" s="39">
        <f t="shared" si="24"/>
        <v>88673.64</v>
      </c>
      <c r="R25" s="40">
        <f>IFERROR(Q25/$P25,0)</f>
        <v>0.23188288917305383</v>
      </c>
      <c r="S25" s="39">
        <f>SUM(S22:S24)</f>
        <v>0</v>
      </c>
      <c r="T25" s="40">
        <f>IFERROR(S25/$P25,0)</f>
        <v>0</v>
      </c>
      <c r="U25" s="39">
        <f>SUM(U22:U24)</f>
        <v>0</v>
      </c>
      <c r="V25" s="40">
        <f>IFERROR(U25/$P25,0)</f>
        <v>0</v>
      </c>
      <c r="W25" s="39">
        <f>SUM(W22:W24)</f>
        <v>0</v>
      </c>
      <c r="X25" s="40">
        <f>IFERROR(W25/$P25,0)</f>
        <v>0</v>
      </c>
      <c r="Y25" s="39">
        <f>SUM(Y22:Y24)</f>
        <v>397917</v>
      </c>
      <c r="Z25" s="39">
        <f>SUM(Z22:Z24)</f>
        <v>412503</v>
      </c>
    </row>
    <row r="27" spans="1:26" ht="13.9" customHeight="1" x14ac:dyDescent="0.25">
      <c r="D27" s="7" t="s">
        <v>128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9" customHeight="1" x14ac:dyDescent="0.25">
      <c r="D28" s="21"/>
      <c r="E28" s="21"/>
      <c r="F28" s="21"/>
      <c r="G28" s="21" t="s">
        <v>1</v>
      </c>
      <c r="H28" s="21" t="s">
        <v>2</v>
      </c>
      <c r="I28" s="21" t="s">
        <v>3</v>
      </c>
      <c r="J28" s="21" t="s">
        <v>4</v>
      </c>
      <c r="K28" s="21" t="s">
        <v>5</v>
      </c>
      <c r="L28" s="21" t="s">
        <v>6</v>
      </c>
      <c r="M28" s="21" t="s">
        <v>7</v>
      </c>
      <c r="N28" s="21" t="s">
        <v>8</v>
      </c>
      <c r="O28" s="21" t="s">
        <v>9</v>
      </c>
      <c r="P28" s="21" t="s">
        <v>123</v>
      </c>
      <c r="Q28" s="21" t="s">
        <v>11</v>
      </c>
      <c r="R28" s="22" t="s">
        <v>12</v>
      </c>
      <c r="S28" s="21" t="s">
        <v>13</v>
      </c>
      <c r="T28" s="22" t="s">
        <v>14</v>
      </c>
      <c r="U28" s="21" t="s">
        <v>15</v>
      </c>
      <c r="V28" s="22" t="s">
        <v>16</v>
      </c>
      <c r="W28" s="21" t="s">
        <v>17</v>
      </c>
      <c r="X28" s="22" t="s">
        <v>18</v>
      </c>
      <c r="Y28" s="21" t="s">
        <v>19</v>
      </c>
      <c r="Z28" s="21" t="s">
        <v>20</v>
      </c>
    </row>
    <row r="29" spans="1:26" ht="13.9" customHeight="1" x14ac:dyDescent="0.25">
      <c r="A29" s="15">
        <v>1</v>
      </c>
      <c r="B29" s="15">
        <v>1</v>
      </c>
      <c r="D29" s="13" t="s">
        <v>21</v>
      </c>
      <c r="E29" s="24">
        <v>111</v>
      </c>
      <c r="F29" s="24" t="s">
        <v>45</v>
      </c>
      <c r="G29" s="25">
        <f t="shared" ref="G29:Q29" si="25">G49+G86+G112</f>
        <v>8543.7099999999991</v>
      </c>
      <c r="H29" s="25">
        <f t="shared" si="25"/>
        <v>14841.88</v>
      </c>
      <c r="I29" s="25">
        <f t="shared" si="25"/>
        <v>7529</v>
      </c>
      <c r="J29" s="25">
        <f t="shared" si="25"/>
        <v>8195</v>
      </c>
      <c r="K29" s="25">
        <f t="shared" si="25"/>
        <v>8195</v>
      </c>
      <c r="L29" s="25">
        <f t="shared" si="25"/>
        <v>74</v>
      </c>
      <c r="M29" s="25">
        <f t="shared" si="25"/>
        <v>0</v>
      </c>
      <c r="N29" s="25">
        <f t="shared" si="25"/>
        <v>0</v>
      </c>
      <c r="O29" s="25">
        <f t="shared" si="25"/>
        <v>0</v>
      </c>
      <c r="P29" s="25">
        <f t="shared" si="25"/>
        <v>8269</v>
      </c>
      <c r="Q29" s="25">
        <f t="shared" si="25"/>
        <v>1685.02</v>
      </c>
      <c r="R29" s="26">
        <f>IFERROR(Q29/$P29,0)</f>
        <v>0.20377554722457369</v>
      </c>
      <c r="S29" s="25">
        <f>S49+S86+S112</f>
        <v>0</v>
      </c>
      <c r="T29" s="26">
        <f>IFERROR(S29/$P29,0)</f>
        <v>0</v>
      </c>
      <c r="U29" s="25">
        <f>U49+U86+U112</f>
        <v>0</v>
      </c>
      <c r="V29" s="26">
        <f>IFERROR(U29/$P29,0)</f>
        <v>0</v>
      </c>
      <c r="W29" s="25">
        <f>W49+W86+W112</f>
        <v>0</v>
      </c>
      <c r="X29" s="26">
        <f>IFERROR(W29/$P29,0)</f>
        <v>0</v>
      </c>
      <c r="Y29" s="25">
        <f>Y49+Y86+Y112</f>
        <v>8195</v>
      </c>
      <c r="Z29" s="25">
        <f>Z49+Z86+Z112</f>
        <v>8195</v>
      </c>
    </row>
    <row r="30" spans="1:26" ht="13.9" customHeight="1" x14ac:dyDescent="0.25">
      <c r="A30" s="15">
        <v>1</v>
      </c>
      <c r="B30" s="15">
        <v>1</v>
      </c>
      <c r="D30" s="13"/>
      <c r="E30" s="24">
        <v>41</v>
      </c>
      <c r="F30" s="24" t="s">
        <v>23</v>
      </c>
      <c r="G30" s="25">
        <f t="shared" ref="G30:Q30" si="26">G40+G54+G64+G74+G90+G104+G117</f>
        <v>247481.76000000004</v>
      </c>
      <c r="H30" s="25">
        <f t="shared" si="26"/>
        <v>275698.64</v>
      </c>
      <c r="I30" s="25">
        <f t="shared" si="26"/>
        <v>333427</v>
      </c>
      <c r="J30" s="25">
        <f t="shared" si="26"/>
        <v>317520</v>
      </c>
      <c r="K30" s="25">
        <f t="shared" si="26"/>
        <v>335985</v>
      </c>
      <c r="L30" s="25">
        <f t="shared" si="26"/>
        <v>3134</v>
      </c>
      <c r="M30" s="25">
        <f t="shared" si="26"/>
        <v>0</v>
      </c>
      <c r="N30" s="25">
        <f t="shared" si="26"/>
        <v>0</v>
      </c>
      <c r="O30" s="25">
        <f t="shared" si="26"/>
        <v>0</v>
      </c>
      <c r="P30" s="25">
        <f t="shared" si="26"/>
        <v>339119</v>
      </c>
      <c r="Q30" s="25">
        <f t="shared" si="26"/>
        <v>82931.079999999987</v>
      </c>
      <c r="R30" s="26">
        <f>IFERROR(Q30/$P30,0)</f>
        <v>0.24454860978004767</v>
      </c>
      <c r="S30" s="25">
        <f>S40+S54+S64+S74+S90+S104+S117</f>
        <v>0</v>
      </c>
      <c r="T30" s="26">
        <f>IFERROR(S30/$P30,0)</f>
        <v>0</v>
      </c>
      <c r="U30" s="25">
        <f>U40+U54+U64+U74+U90+U104+U117</f>
        <v>0</v>
      </c>
      <c r="V30" s="26">
        <f>IFERROR(U30/$P30,0)</f>
        <v>0</v>
      </c>
      <c r="W30" s="25">
        <f>W40+W54+W64+W74+W90+W104+W117</f>
        <v>0</v>
      </c>
      <c r="X30" s="26">
        <f>IFERROR(W30/$P30,0)</f>
        <v>0</v>
      </c>
      <c r="Y30" s="25">
        <f>Y40+Y54+Y64+Y74+Y90+Y104+Y117</f>
        <v>344298</v>
      </c>
      <c r="Z30" s="25">
        <f>Z40+Z54+Z64+Z74+Z90+Z104+Z117</f>
        <v>362029</v>
      </c>
    </row>
    <row r="31" spans="1:26" ht="13.9" customHeight="1" x14ac:dyDescent="0.25">
      <c r="A31" s="15">
        <v>1</v>
      </c>
      <c r="B31" s="15">
        <v>1</v>
      </c>
      <c r="D31" s="13"/>
      <c r="E31" s="24">
        <v>72</v>
      </c>
      <c r="F31" s="24" t="s">
        <v>25</v>
      </c>
      <c r="G31" s="25">
        <f t="shared" ref="G31:Q31" si="27">G42+G56+G66+G92+G119</f>
        <v>1134.96</v>
      </c>
      <c r="H31" s="25">
        <f t="shared" si="27"/>
        <v>1184.8699999999999</v>
      </c>
      <c r="I31" s="25">
        <f t="shared" si="27"/>
        <v>1233</v>
      </c>
      <c r="J31" s="25">
        <f t="shared" si="27"/>
        <v>1198</v>
      </c>
      <c r="K31" s="25">
        <f t="shared" si="27"/>
        <v>1405</v>
      </c>
      <c r="L31" s="25">
        <f t="shared" si="27"/>
        <v>0</v>
      </c>
      <c r="M31" s="25">
        <f t="shared" si="27"/>
        <v>0</v>
      </c>
      <c r="N31" s="25">
        <f t="shared" si="27"/>
        <v>0</v>
      </c>
      <c r="O31" s="25">
        <f t="shared" si="27"/>
        <v>0</v>
      </c>
      <c r="P31" s="25">
        <f t="shared" si="27"/>
        <v>1405</v>
      </c>
      <c r="Q31" s="25">
        <f t="shared" si="27"/>
        <v>0</v>
      </c>
      <c r="R31" s="26">
        <f>IFERROR(Q31/$P31,0)</f>
        <v>0</v>
      </c>
      <c r="S31" s="25">
        <f>S42+S56+S66+S92+S119</f>
        <v>0</v>
      </c>
      <c r="T31" s="26">
        <f>IFERROR(S31/$P31,0)</f>
        <v>0</v>
      </c>
      <c r="U31" s="25">
        <f>U42+U56+U66+U92+U119</f>
        <v>0</v>
      </c>
      <c r="V31" s="26">
        <f>IFERROR(U31/$P31,0)</f>
        <v>0</v>
      </c>
      <c r="W31" s="25">
        <f>W42+W56+W66+W92+W119</f>
        <v>0</v>
      </c>
      <c r="X31" s="26">
        <f>IFERROR(W31/$P31,0)</f>
        <v>0</v>
      </c>
      <c r="Y31" s="25">
        <f>Y42+Y56+Y66+Y92+Y119</f>
        <v>1405</v>
      </c>
      <c r="Z31" s="25">
        <f>Z42+Z56+Z66+Z92+Z119</f>
        <v>1405</v>
      </c>
    </row>
    <row r="32" spans="1:26" ht="13.9" customHeight="1" x14ac:dyDescent="0.25">
      <c r="A32" s="15">
        <v>1</v>
      </c>
      <c r="B32" s="15">
        <v>1</v>
      </c>
      <c r="D32" s="30"/>
      <c r="E32" s="31"/>
      <c r="F32" s="27" t="s">
        <v>126</v>
      </c>
      <c r="G32" s="28">
        <f t="shared" ref="G32:Q32" si="28">SUM(G29:G31)</f>
        <v>257160.43000000002</v>
      </c>
      <c r="H32" s="28">
        <f t="shared" si="28"/>
        <v>291725.39</v>
      </c>
      <c r="I32" s="28">
        <f t="shared" si="28"/>
        <v>342189</v>
      </c>
      <c r="J32" s="28">
        <f t="shared" si="28"/>
        <v>326913</v>
      </c>
      <c r="K32" s="28">
        <f t="shared" si="28"/>
        <v>345585</v>
      </c>
      <c r="L32" s="28">
        <f t="shared" si="28"/>
        <v>3208</v>
      </c>
      <c r="M32" s="28">
        <f t="shared" si="28"/>
        <v>0</v>
      </c>
      <c r="N32" s="28">
        <f t="shared" si="28"/>
        <v>0</v>
      </c>
      <c r="O32" s="28">
        <f t="shared" si="28"/>
        <v>0</v>
      </c>
      <c r="P32" s="28">
        <f t="shared" si="28"/>
        <v>348793</v>
      </c>
      <c r="Q32" s="28">
        <f t="shared" si="28"/>
        <v>84616.099999999991</v>
      </c>
      <c r="R32" s="29">
        <f>IFERROR(Q32/$P32,0)</f>
        <v>0.2425968984469298</v>
      </c>
      <c r="S32" s="28">
        <f>SUM(S29:S31)</f>
        <v>0</v>
      </c>
      <c r="T32" s="29">
        <f>IFERROR(S32/$P32,0)</f>
        <v>0</v>
      </c>
      <c r="U32" s="28">
        <f>SUM(U29:U31)</f>
        <v>0</v>
      </c>
      <c r="V32" s="29">
        <f>IFERROR(U32/$P32,0)</f>
        <v>0</v>
      </c>
      <c r="W32" s="28">
        <f>SUM(W29:W31)</f>
        <v>0</v>
      </c>
      <c r="X32" s="29">
        <f>IFERROR(W32/$P32,0)</f>
        <v>0</v>
      </c>
      <c r="Y32" s="28">
        <f>SUM(Y29:Y31)</f>
        <v>353898</v>
      </c>
      <c r="Z32" s="28">
        <f>SUM(Z29:Z31)</f>
        <v>371629</v>
      </c>
    </row>
    <row r="34" spans="1:26" ht="13.9" customHeight="1" x14ac:dyDescent="0.25">
      <c r="D34" s="6" t="s">
        <v>129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9" customHeight="1" x14ac:dyDescent="0.25">
      <c r="D35" s="21" t="s">
        <v>32</v>
      </c>
      <c r="E35" s="21" t="s">
        <v>33</v>
      </c>
      <c r="F35" s="21" t="s">
        <v>34</v>
      </c>
      <c r="G35" s="21" t="s">
        <v>1</v>
      </c>
      <c r="H35" s="21" t="s">
        <v>2</v>
      </c>
      <c r="I35" s="21" t="s">
        <v>3</v>
      </c>
      <c r="J35" s="21" t="s">
        <v>4</v>
      </c>
      <c r="K35" s="21" t="s">
        <v>5</v>
      </c>
      <c r="L35" s="21" t="s">
        <v>6</v>
      </c>
      <c r="M35" s="21" t="s">
        <v>7</v>
      </c>
      <c r="N35" s="21" t="s">
        <v>8</v>
      </c>
      <c r="O35" s="21" t="s">
        <v>9</v>
      </c>
      <c r="P35" s="21" t="s">
        <v>123</v>
      </c>
      <c r="Q35" s="21" t="s">
        <v>11</v>
      </c>
      <c r="R35" s="22" t="s">
        <v>12</v>
      </c>
      <c r="S35" s="21" t="s">
        <v>13</v>
      </c>
      <c r="T35" s="22" t="s">
        <v>14</v>
      </c>
      <c r="U35" s="21" t="s">
        <v>15</v>
      </c>
      <c r="V35" s="22" t="s">
        <v>16</v>
      </c>
      <c r="W35" s="21" t="s">
        <v>17</v>
      </c>
      <c r="X35" s="22" t="s">
        <v>18</v>
      </c>
      <c r="Y35" s="21" t="s">
        <v>19</v>
      </c>
      <c r="Z35" s="21" t="s">
        <v>20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 t="s">
        <v>130</v>
      </c>
      <c r="E36" s="24">
        <v>610</v>
      </c>
      <c r="F36" s="24" t="s">
        <v>131</v>
      </c>
      <c r="G36" s="46">
        <v>52112.15</v>
      </c>
      <c r="H36" s="46">
        <v>56165.73</v>
      </c>
      <c r="I36" s="46">
        <v>60738</v>
      </c>
      <c r="J36" s="46">
        <v>61428</v>
      </c>
      <c r="K36" s="46">
        <v>67739</v>
      </c>
      <c r="L36" s="46"/>
      <c r="M36" s="46"/>
      <c r="N36" s="46"/>
      <c r="O36" s="46"/>
      <c r="P36" s="46">
        <f>K36+SUM(L36:O36)</f>
        <v>67739</v>
      </c>
      <c r="Q36" s="46">
        <v>16155.71</v>
      </c>
      <c r="R36" s="47">
        <f t="shared" ref="R36:R43" si="29">IFERROR(Q36/$P36,0)</f>
        <v>0.2384993873544044</v>
      </c>
      <c r="S36" s="46"/>
      <c r="T36" s="47">
        <f t="shared" ref="T36:T43" si="30">IFERROR(S36/$P36,0)</f>
        <v>0</v>
      </c>
      <c r="U36" s="46"/>
      <c r="V36" s="47">
        <f t="shared" ref="V36:V43" si="31">IFERROR(U36/$P36,0)</f>
        <v>0</v>
      </c>
      <c r="W36" s="46"/>
      <c r="X36" s="47">
        <f t="shared" ref="X36:X43" si="32">IFERROR(W36/$P36,0)</f>
        <v>0</v>
      </c>
      <c r="Y36" s="25">
        <v>74513</v>
      </c>
      <c r="Z36" s="25">
        <v>81964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4">
        <v>620</v>
      </c>
      <c r="F37" s="24" t="s">
        <v>132</v>
      </c>
      <c r="G37" s="25">
        <v>21535.56</v>
      </c>
      <c r="H37" s="25">
        <v>23483.96</v>
      </c>
      <c r="I37" s="25">
        <v>28830</v>
      </c>
      <c r="J37" s="25">
        <v>28512</v>
      </c>
      <c r="K37" s="25">
        <v>31513</v>
      </c>
      <c r="L37" s="25"/>
      <c r="M37" s="25"/>
      <c r="N37" s="25"/>
      <c r="O37" s="25"/>
      <c r="P37" s="25">
        <f>K37+SUM(L37:O37)</f>
        <v>31513</v>
      </c>
      <c r="Q37" s="25">
        <v>8775.3799999999992</v>
      </c>
      <c r="R37" s="26">
        <f t="shared" si="29"/>
        <v>0.27846856852727442</v>
      </c>
      <c r="S37" s="25"/>
      <c r="T37" s="26">
        <f t="shared" si="30"/>
        <v>0</v>
      </c>
      <c r="U37" s="25"/>
      <c r="V37" s="26">
        <f t="shared" si="31"/>
        <v>0</v>
      </c>
      <c r="W37" s="25"/>
      <c r="X37" s="26">
        <f t="shared" si="32"/>
        <v>0</v>
      </c>
      <c r="Y37" s="25">
        <v>34083</v>
      </c>
      <c r="Z37" s="25">
        <v>36910</v>
      </c>
    </row>
    <row r="38" spans="1:26" ht="13.9" customHeight="1" x14ac:dyDescent="0.25">
      <c r="A38" s="15">
        <v>1</v>
      </c>
      <c r="B38" s="15">
        <v>1</v>
      </c>
      <c r="C38" s="15">
        <v>1</v>
      </c>
      <c r="D38" s="5"/>
      <c r="E38" s="24">
        <v>630</v>
      </c>
      <c r="F38" s="24" t="s">
        <v>133</v>
      </c>
      <c r="G38" s="46">
        <v>10452.84</v>
      </c>
      <c r="H38" s="46">
        <v>10925.91</v>
      </c>
      <c r="I38" s="46">
        <f>20208+1544</f>
        <v>21752</v>
      </c>
      <c r="J38" s="46">
        <v>18723</v>
      </c>
      <c r="K38" s="46">
        <f>18182+1478</f>
        <v>19660</v>
      </c>
      <c r="L38" s="46">
        <v>1000</v>
      </c>
      <c r="M38" s="46"/>
      <c r="N38" s="46"/>
      <c r="O38" s="46"/>
      <c r="P38" s="46">
        <f>K38+SUM(L38:O38)</f>
        <v>20660</v>
      </c>
      <c r="Q38" s="46">
        <v>10458.34</v>
      </c>
      <c r="R38" s="47">
        <f t="shared" si="29"/>
        <v>0.50621200387221688</v>
      </c>
      <c r="S38" s="46"/>
      <c r="T38" s="47">
        <f t="shared" si="30"/>
        <v>0</v>
      </c>
      <c r="U38" s="46"/>
      <c r="V38" s="47">
        <f t="shared" si="31"/>
        <v>0</v>
      </c>
      <c r="W38" s="46"/>
      <c r="X38" s="47">
        <f t="shared" si="32"/>
        <v>0</v>
      </c>
      <c r="Y38" s="25">
        <f>18258+1478</f>
        <v>19736</v>
      </c>
      <c r="Z38" s="25">
        <f>18336+1478</f>
        <v>19814</v>
      </c>
    </row>
    <row r="39" spans="1:26" ht="13.9" hidden="1" customHeight="1" x14ac:dyDescent="0.25">
      <c r="A39" s="15">
        <v>1</v>
      </c>
      <c r="B39" s="15">
        <v>1</v>
      </c>
      <c r="C39" s="15">
        <v>1</v>
      </c>
      <c r="D39" s="5"/>
      <c r="E39" s="24">
        <v>640</v>
      </c>
      <c r="F39" s="24" t="s">
        <v>134</v>
      </c>
      <c r="G39" s="46">
        <v>0</v>
      </c>
      <c r="H39" s="46">
        <v>90.83</v>
      </c>
      <c r="I39" s="46">
        <v>0</v>
      </c>
      <c r="J39" s="46">
        <v>0</v>
      </c>
      <c r="K39" s="46">
        <v>0</v>
      </c>
      <c r="L39" s="46"/>
      <c r="M39" s="46"/>
      <c r="N39" s="46"/>
      <c r="O39" s="46"/>
      <c r="P39" s="46">
        <f>K39+SUM(L39:O39)</f>
        <v>0</v>
      </c>
      <c r="Q39" s="46"/>
      <c r="R39" s="47">
        <f t="shared" si="29"/>
        <v>0</v>
      </c>
      <c r="S39" s="46"/>
      <c r="T39" s="47">
        <f t="shared" si="30"/>
        <v>0</v>
      </c>
      <c r="U39" s="46"/>
      <c r="V39" s="47">
        <f t="shared" si="31"/>
        <v>0</v>
      </c>
      <c r="W39" s="46"/>
      <c r="X39" s="47">
        <f t="shared" si="32"/>
        <v>0</v>
      </c>
      <c r="Y39" s="25">
        <v>0</v>
      </c>
      <c r="Z39" s="25">
        <v>0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79" t="s">
        <v>21</v>
      </c>
      <c r="E40" s="48">
        <v>41</v>
      </c>
      <c r="F40" s="48" t="s">
        <v>23</v>
      </c>
      <c r="G40" s="49">
        <f t="shared" ref="G40:Q40" si="33">SUM(G36:G39)</f>
        <v>84100.55</v>
      </c>
      <c r="H40" s="49">
        <f t="shared" si="33"/>
        <v>90666.430000000008</v>
      </c>
      <c r="I40" s="49">
        <f t="shared" si="33"/>
        <v>111320</v>
      </c>
      <c r="J40" s="49">
        <f t="shared" si="33"/>
        <v>108663</v>
      </c>
      <c r="K40" s="49">
        <f t="shared" si="33"/>
        <v>118912</v>
      </c>
      <c r="L40" s="49">
        <f t="shared" si="33"/>
        <v>1000</v>
      </c>
      <c r="M40" s="49">
        <f t="shared" si="33"/>
        <v>0</v>
      </c>
      <c r="N40" s="49">
        <f t="shared" si="33"/>
        <v>0</v>
      </c>
      <c r="O40" s="49">
        <f t="shared" si="33"/>
        <v>0</v>
      </c>
      <c r="P40" s="49">
        <f t="shared" si="33"/>
        <v>119912</v>
      </c>
      <c r="Q40" s="49">
        <f t="shared" si="33"/>
        <v>35389.429999999993</v>
      </c>
      <c r="R40" s="50">
        <f t="shared" si="29"/>
        <v>0.29512834411902056</v>
      </c>
      <c r="S40" s="49">
        <f>SUM(S36:S39)</f>
        <v>0</v>
      </c>
      <c r="T40" s="50">
        <f t="shared" si="30"/>
        <v>0</v>
      </c>
      <c r="U40" s="49">
        <f>SUM(U36:U39)</f>
        <v>0</v>
      </c>
      <c r="V40" s="50">
        <f t="shared" si="31"/>
        <v>0</v>
      </c>
      <c r="W40" s="49">
        <f>SUM(W36:W39)</f>
        <v>0</v>
      </c>
      <c r="X40" s="50">
        <f t="shared" si="32"/>
        <v>0</v>
      </c>
      <c r="Y40" s="49">
        <f>SUM(Y36:Y39)</f>
        <v>128332</v>
      </c>
      <c r="Z40" s="49">
        <f>SUM(Z36:Z39)</f>
        <v>138688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24" t="s">
        <v>130</v>
      </c>
      <c r="E41" s="24">
        <v>640</v>
      </c>
      <c r="F41" s="24" t="s">
        <v>134</v>
      </c>
      <c r="G41" s="25">
        <v>180.3</v>
      </c>
      <c r="H41" s="25">
        <v>171.74</v>
      </c>
      <c r="I41" s="25">
        <v>158</v>
      </c>
      <c r="J41" s="25">
        <v>164</v>
      </c>
      <c r="K41" s="25">
        <v>179</v>
      </c>
      <c r="L41" s="25"/>
      <c r="M41" s="25"/>
      <c r="N41" s="25"/>
      <c r="O41" s="25"/>
      <c r="P41" s="25">
        <f>K41+SUM(L41:O41)</f>
        <v>179</v>
      </c>
      <c r="Q41" s="25">
        <v>0</v>
      </c>
      <c r="R41" s="26">
        <f t="shared" si="29"/>
        <v>0</v>
      </c>
      <c r="S41" s="25"/>
      <c r="T41" s="26">
        <f t="shared" si="30"/>
        <v>0</v>
      </c>
      <c r="U41" s="25"/>
      <c r="V41" s="26">
        <f t="shared" si="31"/>
        <v>0</v>
      </c>
      <c r="W41" s="25"/>
      <c r="X41" s="26">
        <f t="shared" si="32"/>
        <v>0</v>
      </c>
      <c r="Y41" s="25">
        <f>K41</f>
        <v>179</v>
      </c>
      <c r="Z41" s="25">
        <f>Y41</f>
        <v>179</v>
      </c>
    </row>
    <row r="42" spans="1:26" ht="13.9" customHeight="1" x14ac:dyDescent="0.25">
      <c r="A42" s="15">
        <v>1</v>
      </c>
      <c r="B42" s="15">
        <v>1</v>
      </c>
      <c r="C42" s="15">
        <v>1</v>
      </c>
      <c r="D42" s="79" t="s">
        <v>21</v>
      </c>
      <c r="E42" s="85">
        <v>72</v>
      </c>
      <c r="F42" s="48" t="s">
        <v>25</v>
      </c>
      <c r="G42" s="49">
        <f t="shared" ref="G42:Q42" si="34">SUM(G41)</f>
        <v>180.3</v>
      </c>
      <c r="H42" s="49">
        <f t="shared" si="34"/>
        <v>171.74</v>
      </c>
      <c r="I42" s="49">
        <f t="shared" si="34"/>
        <v>158</v>
      </c>
      <c r="J42" s="49">
        <f t="shared" si="34"/>
        <v>164</v>
      </c>
      <c r="K42" s="49">
        <f t="shared" si="34"/>
        <v>179</v>
      </c>
      <c r="L42" s="49">
        <f t="shared" si="34"/>
        <v>0</v>
      </c>
      <c r="M42" s="49">
        <f t="shared" si="34"/>
        <v>0</v>
      </c>
      <c r="N42" s="49">
        <f t="shared" si="34"/>
        <v>0</v>
      </c>
      <c r="O42" s="49">
        <f t="shared" si="34"/>
        <v>0</v>
      </c>
      <c r="P42" s="49">
        <f t="shared" si="34"/>
        <v>179</v>
      </c>
      <c r="Q42" s="49">
        <f t="shared" si="34"/>
        <v>0</v>
      </c>
      <c r="R42" s="50">
        <f t="shared" si="29"/>
        <v>0</v>
      </c>
      <c r="S42" s="49">
        <f>SUM(S41)</f>
        <v>0</v>
      </c>
      <c r="T42" s="50">
        <f t="shared" si="30"/>
        <v>0</v>
      </c>
      <c r="U42" s="49">
        <f>SUM(U41)</f>
        <v>0</v>
      </c>
      <c r="V42" s="50">
        <f t="shared" si="31"/>
        <v>0</v>
      </c>
      <c r="W42" s="49">
        <f>SUM(W41)</f>
        <v>0</v>
      </c>
      <c r="X42" s="50">
        <f t="shared" si="32"/>
        <v>0</v>
      </c>
      <c r="Y42" s="49">
        <f>SUM(Y41)</f>
        <v>179</v>
      </c>
      <c r="Z42" s="49">
        <f>SUM(Z41)</f>
        <v>179</v>
      </c>
    </row>
    <row r="43" spans="1:26" ht="13.9" customHeight="1" x14ac:dyDescent="0.25">
      <c r="A43" s="15">
        <v>1</v>
      </c>
      <c r="B43" s="15">
        <v>1</v>
      </c>
      <c r="C43" s="15">
        <v>1</v>
      </c>
      <c r="D43" s="86"/>
      <c r="E43" s="87"/>
      <c r="F43" s="27" t="s">
        <v>126</v>
      </c>
      <c r="G43" s="28">
        <f t="shared" ref="G43:Q43" si="35">G40+G42</f>
        <v>84280.85</v>
      </c>
      <c r="H43" s="28">
        <f t="shared" si="35"/>
        <v>90838.170000000013</v>
      </c>
      <c r="I43" s="28">
        <f t="shared" si="35"/>
        <v>111478</v>
      </c>
      <c r="J43" s="28">
        <f t="shared" si="35"/>
        <v>108827</v>
      </c>
      <c r="K43" s="28">
        <f t="shared" si="35"/>
        <v>119091</v>
      </c>
      <c r="L43" s="28">
        <f t="shared" si="35"/>
        <v>1000</v>
      </c>
      <c r="M43" s="28">
        <f t="shared" si="35"/>
        <v>0</v>
      </c>
      <c r="N43" s="28">
        <f t="shared" si="35"/>
        <v>0</v>
      </c>
      <c r="O43" s="28">
        <f t="shared" si="35"/>
        <v>0</v>
      </c>
      <c r="P43" s="28">
        <f t="shared" si="35"/>
        <v>120091</v>
      </c>
      <c r="Q43" s="28">
        <f t="shared" si="35"/>
        <v>35389.429999999993</v>
      </c>
      <c r="R43" s="29">
        <f t="shared" si="29"/>
        <v>0.29468844459618115</v>
      </c>
      <c r="S43" s="28">
        <f>S40+S42</f>
        <v>0</v>
      </c>
      <c r="T43" s="29">
        <f t="shared" si="30"/>
        <v>0</v>
      </c>
      <c r="U43" s="28">
        <f>U40+U42</f>
        <v>0</v>
      </c>
      <c r="V43" s="29">
        <f t="shared" si="31"/>
        <v>0</v>
      </c>
      <c r="W43" s="28">
        <f>W40+W42</f>
        <v>0</v>
      </c>
      <c r="X43" s="29">
        <f t="shared" si="32"/>
        <v>0</v>
      </c>
      <c r="Y43" s="28">
        <f>Y40+Y42</f>
        <v>128511</v>
      </c>
      <c r="Z43" s="28">
        <f>Z40+Z42</f>
        <v>138867</v>
      </c>
    </row>
    <row r="44" spans="1:26" ht="13.9" customHeight="1" x14ac:dyDescent="0.25">
      <c r="D44" s="88"/>
      <c r="E44" s="44"/>
      <c r="F44" s="44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90"/>
      <c r="S44" s="89"/>
      <c r="T44" s="90"/>
      <c r="U44" s="89"/>
      <c r="V44" s="90"/>
      <c r="W44" s="89"/>
      <c r="X44" s="90"/>
      <c r="Y44" s="89"/>
      <c r="Z44" s="89"/>
    </row>
    <row r="45" spans="1:26" ht="13.9" customHeight="1" x14ac:dyDescent="0.25">
      <c r="D45" s="6" t="s">
        <v>135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9" customHeight="1" x14ac:dyDescent="0.25">
      <c r="D46" s="21" t="s">
        <v>32</v>
      </c>
      <c r="E46" s="21" t="s">
        <v>33</v>
      </c>
      <c r="F46" s="21" t="s">
        <v>34</v>
      </c>
      <c r="G46" s="21" t="s">
        <v>1</v>
      </c>
      <c r="H46" s="21" t="s">
        <v>2</v>
      </c>
      <c r="I46" s="21" t="s">
        <v>3</v>
      </c>
      <c r="J46" s="21" t="s">
        <v>4</v>
      </c>
      <c r="K46" s="21" t="s">
        <v>5</v>
      </c>
      <c r="L46" s="21" t="s">
        <v>6</v>
      </c>
      <c r="M46" s="21" t="s">
        <v>7</v>
      </c>
      <c r="N46" s="21" t="s">
        <v>8</v>
      </c>
      <c r="O46" s="21" t="s">
        <v>9</v>
      </c>
      <c r="P46" s="21" t="s">
        <v>123</v>
      </c>
      <c r="Q46" s="21" t="s">
        <v>11</v>
      </c>
      <c r="R46" s="22" t="s">
        <v>12</v>
      </c>
      <c r="S46" s="21" t="s">
        <v>13</v>
      </c>
      <c r="T46" s="22" t="s">
        <v>14</v>
      </c>
      <c r="U46" s="21" t="s">
        <v>15</v>
      </c>
      <c r="V46" s="22" t="s">
        <v>16</v>
      </c>
      <c r="W46" s="21" t="s">
        <v>17</v>
      </c>
      <c r="X46" s="22" t="s">
        <v>18</v>
      </c>
      <c r="Y46" s="21" t="s">
        <v>19</v>
      </c>
      <c r="Z46" s="21" t="s">
        <v>20</v>
      </c>
    </row>
    <row r="47" spans="1:26" ht="13.9" customHeight="1" x14ac:dyDescent="0.25">
      <c r="A47" s="15">
        <v>1</v>
      </c>
      <c r="B47" s="15">
        <v>1</v>
      </c>
      <c r="C47" s="15">
        <v>2</v>
      </c>
      <c r="D47" s="13" t="s">
        <v>130</v>
      </c>
      <c r="E47" s="24">
        <v>610</v>
      </c>
      <c r="F47" s="24" t="s">
        <v>131</v>
      </c>
      <c r="G47" s="25">
        <v>1318.27</v>
      </c>
      <c r="H47" s="25">
        <v>352.33</v>
      </c>
      <c r="I47" s="25">
        <f>príjmy!F107</f>
        <v>352</v>
      </c>
      <c r="J47" s="25">
        <v>390</v>
      </c>
      <c r="K47" s="25">
        <f>príjmy!H107</f>
        <v>390</v>
      </c>
      <c r="L47" s="25">
        <v>30</v>
      </c>
      <c r="M47" s="25"/>
      <c r="N47" s="25"/>
      <c r="O47" s="25"/>
      <c r="P47" s="25">
        <f>K47+SUM(L47:O47)</f>
        <v>420</v>
      </c>
      <c r="Q47" s="25">
        <v>0</v>
      </c>
      <c r="R47" s="26">
        <f t="shared" ref="R47:R57" si="36">IFERROR(Q47/$P47,0)</f>
        <v>0</v>
      </c>
      <c r="S47" s="25"/>
      <c r="T47" s="26">
        <f t="shared" ref="T47:T57" si="37">IFERROR(S47/$P47,0)</f>
        <v>0</v>
      </c>
      <c r="U47" s="25"/>
      <c r="V47" s="26">
        <f t="shared" ref="V47:V57" si="38">IFERROR(U47/$P47,0)</f>
        <v>0</v>
      </c>
      <c r="W47" s="25"/>
      <c r="X47" s="26">
        <f t="shared" ref="X47:X57" si="39">IFERROR(W47/$P47,0)</f>
        <v>0</v>
      </c>
      <c r="Y47" s="25">
        <f>príjmy!V107</f>
        <v>390</v>
      </c>
      <c r="Z47" s="25">
        <f>príjmy!W107</f>
        <v>390</v>
      </c>
    </row>
    <row r="48" spans="1:26" ht="13.9" hidden="1" customHeight="1" x14ac:dyDescent="0.25">
      <c r="A48" s="15">
        <v>1</v>
      </c>
      <c r="B48" s="15">
        <v>1</v>
      </c>
      <c r="C48" s="15">
        <v>2</v>
      </c>
      <c r="D48" s="13"/>
      <c r="E48" s="24">
        <v>620</v>
      </c>
      <c r="F48" s="24" t="s">
        <v>132</v>
      </c>
      <c r="G48" s="25">
        <v>349.5</v>
      </c>
      <c r="H48" s="25">
        <v>0</v>
      </c>
      <c r="I48" s="25">
        <v>0</v>
      </c>
      <c r="J48" s="25">
        <v>0</v>
      </c>
      <c r="K48" s="25">
        <v>0</v>
      </c>
      <c r="L48" s="25"/>
      <c r="M48" s="25"/>
      <c r="N48" s="25"/>
      <c r="O48" s="25"/>
      <c r="P48" s="25">
        <f>K48+SUM(L48:O48)</f>
        <v>0</v>
      </c>
      <c r="Q48" s="25"/>
      <c r="R48" s="26">
        <f t="shared" si="36"/>
        <v>0</v>
      </c>
      <c r="S48" s="25"/>
      <c r="T48" s="26">
        <f t="shared" si="37"/>
        <v>0</v>
      </c>
      <c r="U48" s="25"/>
      <c r="V48" s="26">
        <f t="shared" si="38"/>
        <v>0</v>
      </c>
      <c r="W48" s="25"/>
      <c r="X48" s="26">
        <f t="shared" si="39"/>
        <v>0</v>
      </c>
      <c r="Y48" s="25">
        <v>0</v>
      </c>
      <c r="Z48" s="25">
        <v>0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79" t="s">
        <v>21</v>
      </c>
      <c r="E49" s="48">
        <v>111</v>
      </c>
      <c r="F49" s="48" t="s">
        <v>136</v>
      </c>
      <c r="G49" s="49">
        <f t="shared" ref="G49:Q49" si="40">SUM(G47:G48)</f>
        <v>1667.77</v>
      </c>
      <c r="H49" s="49">
        <f t="shared" si="40"/>
        <v>352.33</v>
      </c>
      <c r="I49" s="49">
        <f t="shared" si="40"/>
        <v>352</v>
      </c>
      <c r="J49" s="49">
        <f t="shared" si="40"/>
        <v>390</v>
      </c>
      <c r="K49" s="49">
        <f t="shared" si="40"/>
        <v>390</v>
      </c>
      <c r="L49" s="49">
        <f t="shared" si="40"/>
        <v>30</v>
      </c>
      <c r="M49" s="49">
        <f t="shared" si="40"/>
        <v>0</v>
      </c>
      <c r="N49" s="49">
        <f t="shared" si="40"/>
        <v>0</v>
      </c>
      <c r="O49" s="49">
        <f t="shared" si="40"/>
        <v>0</v>
      </c>
      <c r="P49" s="49">
        <f t="shared" si="40"/>
        <v>420</v>
      </c>
      <c r="Q49" s="49">
        <f t="shared" si="40"/>
        <v>0</v>
      </c>
      <c r="R49" s="50">
        <f t="shared" si="36"/>
        <v>0</v>
      </c>
      <c r="S49" s="49">
        <f>SUM(S47:S48)</f>
        <v>0</v>
      </c>
      <c r="T49" s="50">
        <f t="shared" si="37"/>
        <v>0</v>
      </c>
      <c r="U49" s="49">
        <f>SUM(U47:U48)</f>
        <v>0</v>
      </c>
      <c r="V49" s="50">
        <f t="shared" si="38"/>
        <v>0</v>
      </c>
      <c r="W49" s="49">
        <f>SUM(W47:W48)</f>
        <v>0</v>
      </c>
      <c r="X49" s="50">
        <f t="shared" si="39"/>
        <v>0</v>
      </c>
      <c r="Y49" s="49">
        <f>SUM(Y47:Y48)</f>
        <v>390</v>
      </c>
      <c r="Z49" s="49">
        <f>SUM(Z47:Z48)</f>
        <v>390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 t="s">
        <v>130</v>
      </c>
      <c r="E50" s="24">
        <v>610</v>
      </c>
      <c r="F50" s="24" t="s">
        <v>131</v>
      </c>
      <c r="G50" s="46">
        <v>63568.65</v>
      </c>
      <c r="H50" s="46">
        <v>69536.92</v>
      </c>
      <c r="I50" s="46">
        <f>81477-I47</f>
        <v>81125</v>
      </c>
      <c r="J50" s="46">
        <v>78780</v>
      </c>
      <c r="K50" s="46">
        <v>86469</v>
      </c>
      <c r="L50" s="46"/>
      <c r="M50" s="46"/>
      <c r="N50" s="46"/>
      <c r="O50" s="46"/>
      <c r="P50" s="46">
        <f>K50+SUM(L50:O50)</f>
        <v>86469</v>
      </c>
      <c r="Q50" s="46">
        <v>19282.16</v>
      </c>
      <c r="R50" s="47">
        <f t="shared" si="36"/>
        <v>0.22299506181406054</v>
      </c>
      <c r="S50" s="46"/>
      <c r="T50" s="47">
        <f t="shared" si="37"/>
        <v>0</v>
      </c>
      <c r="U50" s="46"/>
      <c r="V50" s="47">
        <f t="shared" si="38"/>
        <v>0</v>
      </c>
      <c r="W50" s="46"/>
      <c r="X50" s="47">
        <f t="shared" si="39"/>
        <v>0</v>
      </c>
      <c r="Y50" s="46">
        <v>85538</v>
      </c>
      <c r="Z50" s="46">
        <v>89600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4">
        <v>620</v>
      </c>
      <c r="F51" s="24" t="s">
        <v>132</v>
      </c>
      <c r="G51" s="25">
        <v>23647.39</v>
      </c>
      <c r="H51" s="25">
        <v>25792.63</v>
      </c>
      <c r="I51" s="25">
        <v>30328</v>
      </c>
      <c r="J51" s="25">
        <v>30214</v>
      </c>
      <c r="K51" s="25">
        <v>32815</v>
      </c>
      <c r="L51" s="25"/>
      <c r="M51" s="25"/>
      <c r="N51" s="25"/>
      <c r="O51" s="25"/>
      <c r="P51" s="25">
        <f>K51+SUM(L51:O51)</f>
        <v>32815</v>
      </c>
      <c r="Q51" s="25">
        <v>7301.23</v>
      </c>
      <c r="R51" s="26">
        <f t="shared" si="36"/>
        <v>0.2224967240591193</v>
      </c>
      <c r="S51" s="25"/>
      <c r="T51" s="26">
        <f t="shared" si="37"/>
        <v>0</v>
      </c>
      <c r="U51" s="25"/>
      <c r="V51" s="26">
        <f t="shared" si="38"/>
        <v>0</v>
      </c>
      <c r="W51" s="25"/>
      <c r="X51" s="26">
        <f t="shared" si="39"/>
        <v>0</v>
      </c>
      <c r="Y51" s="25">
        <v>32461</v>
      </c>
      <c r="Z51" s="25">
        <v>34003</v>
      </c>
    </row>
    <row r="52" spans="1:26" ht="13.9" customHeight="1" x14ac:dyDescent="0.25">
      <c r="A52" s="15">
        <v>1</v>
      </c>
      <c r="B52" s="15">
        <v>1</v>
      </c>
      <c r="C52" s="15">
        <v>2</v>
      </c>
      <c r="D52" s="5"/>
      <c r="E52" s="24">
        <v>630</v>
      </c>
      <c r="F52" s="24" t="s">
        <v>133</v>
      </c>
      <c r="G52" s="25">
        <v>5608.13</v>
      </c>
      <c r="H52" s="25">
        <v>7464.93</v>
      </c>
      <c r="I52" s="25">
        <f>7320+1900</f>
        <v>9220</v>
      </c>
      <c r="J52" s="25">
        <v>8240</v>
      </c>
      <c r="K52" s="25">
        <f>7611+1600</f>
        <v>9211</v>
      </c>
      <c r="L52" s="25"/>
      <c r="M52" s="25"/>
      <c r="N52" s="25"/>
      <c r="O52" s="25"/>
      <c r="P52" s="25">
        <f>K52+SUM(L52:O52)</f>
        <v>9211</v>
      </c>
      <c r="Q52" s="25">
        <v>2756.22</v>
      </c>
      <c r="R52" s="26">
        <f t="shared" si="36"/>
        <v>0.29923135381608945</v>
      </c>
      <c r="S52" s="25"/>
      <c r="T52" s="26">
        <f t="shared" si="37"/>
        <v>0</v>
      </c>
      <c r="U52" s="25"/>
      <c r="V52" s="26">
        <f t="shared" si="38"/>
        <v>0</v>
      </c>
      <c r="W52" s="25"/>
      <c r="X52" s="26">
        <f t="shared" si="39"/>
        <v>0</v>
      </c>
      <c r="Y52" s="25">
        <f>6978+1600</f>
        <v>8578</v>
      </c>
      <c r="Z52" s="25">
        <f>7044+1600</f>
        <v>8644</v>
      </c>
    </row>
    <row r="53" spans="1:26" ht="13.9" hidden="1" customHeight="1" x14ac:dyDescent="0.25">
      <c r="A53" s="15">
        <v>1</v>
      </c>
      <c r="B53" s="15">
        <v>1</v>
      </c>
      <c r="C53" s="15">
        <v>2</v>
      </c>
      <c r="D53" s="5"/>
      <c r="E53" s="24">
        <v>640</v>
      </c>
      <c r="F53" s="24" t="s">
        <v>134</v>
      </c>
      <c r="G53" s="25">
        <v>134.83000000000001</v>
      </c>
      <c r="H53" s="25">
        <v>134.83000000000001</v>
      </c>
      <c r="I53" s="25">
        <v>0</v>
      </c>
      <c r="J53" s="25">
        <v>0</v>
      </c>
      <c r="K53" s="25">
        <v>0</v>
      </c>
      <c r="L53" s="25"/>
      <c r="M53" s="25"/>
      <c r="N53" s="25"/>
      <c r="O53" s="25"/>
      <c r="P53" s="25">
        <f>K53+SUM(L53:O53)</f>
        <v>0</v>
      </c>
      <c r="Q53" s="25"/>
      <c r="R53" s="26">
        <f t="shared" si="36"/>
        <v>0</v>
      </c>
      <c r="S53" s="25"/>
      <c r="T53" s="26">
        <f t="shared" si="37"/>
        <v>0</v>
      </c>
      <c r="U53" s="25"/>
      <c r="V53" s="26">
        <f t="shared" si="38"/>
        <v>0</v>
      </c>
      <c r="W53" s="25"/>
      <c r="X53" s="26">
        <f t="shared" si="39"/>
        <v>0</v>
      </c>
      <c r="Y53" s="25">
        <v>0</v>
      </c>
      <c r="Z53" s="25">
        <v>0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79" t="s">
        <v>21</v>
      </c>
      <c r="E54" s="48">
        <v>41</v>
      </c>
      <c r="F54" s="48" t="s">
        <v>23</v>
      </c>
      <c r="G54" s="49">
        <f t="shared" ref="G54:Q54" si="41">SUM(G50:G53)</f>
        <v>92959.000000000015</v>
      </c>
      <c r="H54" s="49">
        <f t="shared" si="41"/>
        <v>102929.31000000001</v>
      </c>
      <c r="I54" s="49">
        <f t="shared" si="41"/>
        <v>120673</v>
      </c>
      <c r="J54" s="49">
        <f t="shared" si="41"/>
        <v>117234</v>
      </c>
      <c r="K54" s="49">
        <f t="shared" si="41"/>
        <v>128495</v>
      </c>
      <c r="L54" s="49">
        <f t="shared" si="41"/>
        <v>0</v>
      </c>
      <c r="M54" s="49">
        <f t="shared" si="41"/>
        <v>0</v>
      </c>
      <c r="N54" s="49">
        <f t="shared" si="41"/>
        <v>0</v>
      </c>
      <c r="O54" s="49">
        <f t="shared" si="41"/>
        <v>0</v>
      </c>
      <c r="P54" s="49">
        <f t="shared" si="41"/>
        <v>128495</v>
      </c>
      <c r="Q54" s="49">
        <f t="shared" si="41"/>
        <v>29339.61</v>
      </c>
      <c r="R54" s="50">
        <f t="shared" si="36"/>
        <v>0.22833269777034126</v>
      </c>
      <c r="S54" s="49">
        <f>SUM(S50:S53)</f>
        <v>0</v>
      </c>
      <c r="T54" s="50">
        <f t="shared" si="37"/>
        <v>0</v>
      </c>
      <c r="U54" s="49">
        <f>SUM(U50:U53)</f>
        <v>0</v>
      </c>
      <c r="V54" s="50">
        <f t="shared" si="38"/>
        <v>0</v>
      </c>
      <c r="W54" s="49">
        <f>SUM(W50:W53)</f>
        <v>0</v>
      </c>
      <c r="X54" s="50">
        <f t="shared" si="39"/>
        <v>0</v>
      </c>
      <c r="Y54" s="49">
        <f>SUM(Y50:Y53)</f>
        <v>126577</v>
      </c>
      <c r="Z54" s="49">
        <f>SUM(Z50:Z53)</f>
        <v>132247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24" t="s">
        <v>130</v>
      </c>
      <c r="E55" s="24">
        <v>640</v>
      </c>
      <c r="F55" s="24" t="s">
        <v>134</v>
      </c>
      <c r="G55" s="25">
        <v>688.32</v>
      </c>
      <c r="H55" s="25">
        <v>687.73</v>
      </c>
      <c r="I55" s="25">
        <v>696</v>
      </c>
      <c r="J55" s="25">
        <v>717</v>
      </c>
      <c r="K55" s="25">
        <v>895</v>
      </c>
      <c r="L55" s="25"/>
      <c r="M55" s="25"/>
      <c r="N55" s="25"/>
      <c r="O55" s="25"/>
      <c r="P55" s="25">
        <f>K55+SUM(L55:O55)</f>
        <v>895</v>
      </c>
      <c r="Q55" s="25">
        <v>0</v>
      </c>
      <c r="R55" s="26">
        <f t="shared" si="36"/>
        <v>0</v>
      </c>
      <c r="S55" s="25"/>
      <c r="T55" s="26">
        <f t="shared" si="37"/>
        <v>0</v>
      </c>
      <c r="U55" s="25"/>
      <c r="V55" s="26">
        <f t="shared" si="38"/>
        <v>0</v>
      </c>
      <c r="W55" s="25"/>
      <c r="X55" s="26">
        <f t="shared" si="39"/>
        <v>0</v>
      </c>
      <c r="Y55" s="25">
        <f>K55</f>
        <v>895</v>
      </c>
      <c r="Z55" s="25">
        <f>Y55</f>
        <v>895</v>
      </c>
    </row>
    <row r="56" spans="1:26" ht="13.9" customHeight="1" x14ac:dyDescent="0.25">
      <c r="A56" s="15">
        <v>1</v>
      </c>
      <c r="B56" s="15">
        <v>1</v>
      </c>
      <c r="C56" s="15">
        <v>2</v>
      </c>
      <c r="D56" s="79" t="s">
        <v>21</v>
      </c>
      <c r="E56" s="85">
        <v>72</v>
      </c>
      <c r="F56" s="48" t="s">
        <v>25</v>
      </c>
      <c r="G56" s="49">
        <f t="shared" ref="G56:Q56" si="42">SUM(G55)</f>
        <v>688.32</v>
      </c>
      <c r="H56" s="49">
        <f t="shared" si="42"/>
        <v>687.73</v>
      </c>
      <c r="I56" s="49">
        <f t="shared" si="42"/>
        <v>696</v>
      </c>
      <c r="J56" s="49">
        <f t="shared" si="42"/>
        <v>717</v>
      </c>
      <c r="K56" s="49">
        <f t="shared" si="42"/>
        <v>895</v>
      </c>
      <c r="L56" s="49">
        <f t="shared" si="42"/>
        <v>0</v>
      </c>
      <c r="M56" s="49">
        <f t="shared" si="42"/>
        <v>0</v>
      </c>
      <c r="N56" s="49">
        <f t="shared" si="42"/>
        <v>0</v>
      </c>
      <c r="O56" s="49">
        <f t="shared" si="42"/>
        <v>0</v>
      </c>
      <c r="P56" s="49">
        <f t="shared" si="42"/>
        <v>895</v>
      </c>
      <c r="Q56" s="49">
        <f t="shared" si="42"/>
        <v>0</v>
      </c>
      <c r="R56" s="50">
        <f t="shared" si="36"/>
        <v>0</v>
      </c>
      <c r="S56" s="49">
        <f>SUM(S55)</f>
        <v>0</v>
      </c>
      <c r="T56" s="50">
        <f t="shared" si="37"/>
        <v>0</v>
      </c>
      <c r="U56" s="49">
        <f>SUM(U55)</f>
        <v>0</v>
      </c>
      <c r="V56" s="50">
        <f t="shared" si="38"/>
        <v>0</v>
      </c>
      <c r="W56" s="49">
        <f>SUM(W55)</f>
        <v>0</v>
      </c>
      <c r="X56" s="50">
        <f t="shared" si="39"/>
        <v>0</v>
      </c>
      <c r="Y56" s="49">
        <f>SUM(Y55)</f>
        <v>895</v>
      </c>
      <c r="Z56" s="49">
        <f>SUM(Z55)</f>
        <v>895</v>
      </c>
    </row>
    <row r="57" spans="1:26" ht="13.9" customHeight="1" x14ac:dyDescent="0.25">
      <c r="A57" s="15">
        <v>1</v>
      </c>
      <c r="B57" s="15">
        <v>1</v>
      </c>
      <c r="C57" s="15">
        <v>2</v>
      </c>
      <c r="D57" s="86"/>
      <c r="E57" s="87"/>
      <c r="F57" s="27" t="s">
        <v>126</v>
      </c>
      <c r="G57" s="28">
        <f t="shared" ref="G57:Q57" si="43">G49+G54+G56</f>
        <v>95315.090000000026</v>
      </c>
      <c r="H57" s="28">
        <f t="shared" si="43"/>
        <v>103969.37000000001</v>
      </c>
      <c r="I57" s="28">
        <f t="shared" si="43"/>
        <v>121721</v>
      </c>
      <c r="J57" s="28">
        <f t="shared" si="43"/>
        <v>118341</v>
      </c>
      <c r="K57" s="28">
        <f t="shared" si="43"/>
        <v>129780</v>
      </c>
      <c r="L57" s="28">
        <f t="shared" si="43"/>
        <v>30</v>
      </c>
      <c r="M57" s="28">
        <f t="shared" si="43"/>
        <v>0</v>
      </c>
      <c r="N57" s="28">
        <f t="shared" si="43"/>
        <v>0</v>
      </c>
      <c r="O57" s="28">
        <f t="shared" si="43"/>
        <v>0</v>
      </c>
      <c r="P57" s="28">
        <f t="shared" si="43"/>
        <v>129810</v>
      </c>
      <c r="Q57" s="28">
        <f t="shared" si="43"/>
        <v>29339.61</v>
      </c>
      <c r="R57" s="29">
        <f t="shared" si="36"/>
        <v>0.22601964409521608</v>
      </c>
      <c r="S57" s="28">
        <f>S49+S54+S56</f>
        <v>0</v>
      </c>
      <c r="T57" s="29">
        <f t="shared" si="37"/>
        <v>0</v>
      </c>
      <c r="U57" s="28">
        <f>U49+U54+U56</f>
        <v>0</v>
      </c>
      <c r="V57" s="29">
        <f t="shared" si="38"/>
        <v>0</v>
      </c>
      <c r="W57" s="28">
        <f>W49+W54+W56</f>
        <v>0</v>
      </c>
      <c r="X57" s="29">
        <f t="shared" si="39"/>
        <v>0</v>
      </c>
      <c r="Y57" s="28">
        <f>Y49+Y54+Y56</f>
        <v>127862</v>
      </c>
      <c r="Z57" s="28">
        <f>Z49+Z54+Z56</f>
        <v>133532</v>
      </c>
    </row>
    <row r="58" spans="1:26" ht="13.9" customHeight="1" x14ac:dyDescent="0.25">
      <c r="D58" s="88"/>
      <c r="E58" s="44"/>
      <c r="F58" s="44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90"/>
      <c r="S58" s="89"/>
      <c r="T58" s="90"/>
      <c r="U58" s="89"/>
      <c r="V58" s="90"/>
      <c r="W58" s="89"/>
      <c r="X58" s="90"/>
      <c r="Y58" s="89"/>
      <c r="Z58" s="89"/>
    </row>
    <row r="59" spans="1:26" ht="13.9" customHeight="1" x14ac:dyDescent="0.25">
      <c r="D59" s="6" t="s">
        <v>137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9" customHeight="1" x14ac:dyDescent="0.25">
      <c r="D60" s="21" t="s">
        <v>32</v>
      </c>
      <c r="E60" s="21" t="s">
        <v>33</v>
      </c>
      <c r="F60" s="21" t="s">
        <v>34</v>
      </c>
      <c r="G60" s="21" t="s">
        <v>1</v>
      </c>
      <c r="H60" s="21" t="s">
        <v>2</v>
      </c>
      <c r="I60" s="21" t="s">
        <v>3</v>
      </c>
      <c r="J60" s="21" t="s">
        <v>4</v>
      </c>
      <c r="K60" s="21" t="s">
        <v>5</v>
      </c>
      <c r="L60" s="21" t="s">
        <v>6</v>
      </c>
      <c r="M60" s="21" t="s">
        <v>7</v>
      </c>
      <c r="N60" s="21" t="s">
        <v>8</v>
      </c>
      <c r="O60" s="21" t="s">
        <v>9</v>
      </c>
      <c r="P60" s="21" t="s">
        <v>123</v>
      </c>
      <c r="Q60" s="21" t="s">
        <v>11</v>
      </c>
      <c r="R60" s="22" t="s">
        <v>12</v>
      </c>
      <c r="S60" s="21" t="s">
        <v>13</v>
      </c>
      <c r="T60" s="22" t="s">
        <v>14</v>
      </c>
      <c r="U60" s="21" t="s">
        <v>15</v>
      </c>
      <c r="V60" s="22" t="s">
        <v>16</v>
      </c>
      <c r="W60" s="21" t="s">
        <v>17</v>
      </c>
      <c r="X60" s="22" t="s">
        <v>18</v>
      </c>
      <c r="Y60" s="21" t="s">
        <v>19</v>
      </c>
      <c r="Z60" s="21" t="s">
        <v>20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 t="s">
        <v>138</v>
      </c>
      <c r="E61" s="24">
        <v>610</v>
      </c>
      <c r="F61" s="24" t="s">
        <v>131</v>
      </c>
      <c r="G61" s="25">
        <v>8114</v>
      </c>
      <c r="H61" s="46">
        <v>10461</v>
      </c>
      <c r="I61" s="25">
        <v>11296</v>
      </c>
      <c r="J61" s="25">
        <v>11434</v>
      </c>
      <c r="K61" s="25">
        <v>12589</v>
      </c>
      <c r="L61" s="25"/>
      <c r="M61" s="25"/>
      <c r="N61" s="25"/>
      <c r="O61" s="25"/>
      <c r="P61" s="46">
        <f>K61+SUM(L61:O61)</f>
        <v>12589</v>
      </c>
      <c r="Q61" s="46">
        <v>3011</v>
      </c>
      <c r="R61" s="47">
        <f t="shared" ref="R61:R67" si="44">IFERROR(Q61/$P61,0)</f>
        <v>0.23917705933751687</v>
      </c>
      <c r="S61" s="46"/>
      <c r="T61" s="47">
        <f t="shared" ref="T61:T67" si="45">IFERROR(S61/$P61,0)</f>
        <v>0</v>
      </c>
      <c r="U61" s="46"/>
      <c r="V61" s="47">
        <f t="shared" ref="V61:V67" si="46">IFERROR(U61/$P61,0)</f>
        <v>0</v>
      </c>
      <c r="W61" s="46"/>
      <c r="X61" s="47">
        <f t="shared" ref="X61:X67" si="47">IFERROR(W61/$P61,0)</f>
        <v>0</v>
      </c>
      <c r="Y61" s="25">
        <v>13848</v>
      </c>
      <c r="Z61" s="25">
        <v>14540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5"/>
      <c r="E62" s="24">
        <v>620</v>
      </c>
      <c r="F62" s="24" t="s">
        <v>132</v>
      </c>
      <c r="G62" s="25">
        <v>2545.6999999999998</v>
      </c>
      <c r="H62" s="46">
        <v>3289.72</v>
      </c>
      <c r="I62" s="25">
        <v>3552</v>
      </c>
      <c r="J62" s="25">
        <v>3707</v>
      </c>
      <c r="K62" s="25">
        <v>4085</v>
      </c>
      <c r="L62" s="25"/>
      <c r="M62" s="25"/>
      <c r="N62" s="25"/>
      <c r="O62" s="25"/>
      <c r="P62" s="46">
        <f>K62+SUM(L62:O62)</f>
        <v>4085</v>
      </c>
      <c r="Q62" s="46">
        <v>977</v>
      </c>
      <c r="R62" s="47">
        <f t="shared" si="44"/>
        <v>0.23916768665850674</v>
      </c>
      <c r="S62" s="46"/>
      <c r="T62" s="47">
        <f t="shared" si="45"/>
        <v>0</v>
      </c>
      <c r="U62" s="46"/>
      <c r="V62" s="47">
        <f t="shared" si="46"/>
        <v>0</v>
      </c>
      <c r="W62" s="46"/>
      <c r="X62" s="47">
        <f t="shared" si="47"/>
        <v>0</v>
      </c>
      <c r="Y62" s="25">
        <v>4494</v>
      </c>
      <c r="Z62" s="25">
        <v>4719</v>
      </c>
    </row>
    <row r="63" spans="1:26" ht="13.9" customHeight="1" x14ac:dyDescent="0.25">
      <c r="A63" s="15">
        <v>1</v>
      </c>
      <c r="B63" s="15">
        <v>1</v>
      </c>
      <c r="C63" s="15">
        <v>3</v>
      </c>
      <c r="D63" s="5"/>
      <c r="E63" s="24">
        <v>630</v>
      </c>
      <c r="F63" s="24" t="s">
        <v>133</v>
      </c>
      <c r="G63" s="25">
        <v>2407.87</v>
      </c>
      <c r="H63" s="46">
        <v>2065.62</v>
      </c>
      <c r="I63" s="25">
        <f>698+1750</f>
        <v>2448</v>
      </c>
      <c r="J63" s="25">
        <v>3070</v>
      </c>
      <c r="K63" s="25">
        <f>735+2100</f>
        <v>2835</v>
      </c>
      <c r="L63" s="25"/>
      <c r="M63" s="25"/>
      <c r="N63" s="25"/>
      <c r="O63" s="25"/>
      <c r="P63" s="46">
        <f>K63+SUM(L63:O63)</f>
        <v>2835</v>
      </c>
      <c r="Q63" s="46">
        <v>474.9</v>
      </c>
      <c r="R63" s="47">
        <f t="shared" si="44"/>
        <v>0.1675132275132275</v>
      </c>
      <c r="S63" s="46"/>
      <c r="T63" s="47">
        <f t="shared" si="45"/>
        <v>0</v>
      </c>
      <c r="U63" s="46"/>
      <c r="V63" s="47">
        <f t="shared" si="46"/>
        <v>0</v>
      </c>
      <c r="W63" s="46"/>
      <c r="X63" s="47">
        <f t="shared" si="47"/>
        <v>0</v>
      </c>
      <c r="Y63" s="25">
        <f>747+2100</f>
        <v>2847</v>
      </c>
      <c r="Z63" s="25">
        <f>753+2100</f>
        <v>2853</v>
      </c>
    </row>
    <row r="64" spans="1:26" ht="13.9" customHeight="1" x14ac:dyDescent="0.25">
      <c r="A64" s="15">
        <v>1</v>
      </c>
      <c r="B64" s="15">
        <v>1</v>
      </c>
      <c r="C64" s="15">
        <v>3</v>
      </c>
      <c r="D64" s="79" t="s">
        <v>21</v>
      </c>
      <c r="E64" s="48">
        <v>41</v>
      </c>
      <c r="F64" s="48" t="s">
        <v>23</v>
      </c>
      <c r="G64" s="49">
        <f t="shared" ref="G64:Q64" si="48">SUM(G61:G63)</f>
        <v>13067.57</v>
      </c>
      <c r="H64" s="49">
        <f t="shared" si="48"/>
        <v>15816.34</v>
      </c>
      <c r="I64" s="49">
        <f t="shared" si="48"/>
        <v>17296</v>
      </c>
      <c r="J64" s="49">
        <f t="shared" si="48"/>
        <v>18211</v>
      </c>
      <c r="K64" s="49">
        <f t="shared" si="48"/>
        <v>19509</v>
      </c>
      <c r="L64" s="49">
        <f t="shared" si="48"/>
        <v>0</v>
      </c>
      <c r="M64" s="49">
        <f t="shared" si="48"/>
        <v>0</v>
      </c>
      <c r="N64" s="49">
        <f t="shared" si="48"/>
        <v>0</v>
      </c>
      <c r="O64" s="49">
        <f t="shared" si="48"/>
        <v>0</v>
      </c>
      <c r="P64" s="49">
        <f t="shared" si="48"/>
        <v>19509</v>
      </c>
      <c r="Q64" s="49">
        <f t="shared" si="48"/>
        <v>4462.8999999999996</v>
      </c>
      <c r="R64" s="50">
        <f t="shared" si="44"/>
        <v>0.22876108462760775</v>
      </c>
      <c r="S64" s="49">
        <f>SUM(S61:S63)</f>
        <v>0</v>
      </c>
      <c r="T64" s="50">
        <f t="shared" si="45"/>
        <v>0</v>
      </c>
      <c r="U64" s="49">
        <f>SUM(U61:U63)</f>
        <v>0</v>
      </c>
      <c r="V64" s="50">
        <f t="shared" si="46"/>
        <v>0</v>
      </c>
      <c r="W64" s="49">
        <f>SUM(W61:W63)</f>
        <v>0</v>
      </c>
      <c r="X64" s="50">
        <f t="shared" si="47"/>
        <v>0</v>
      </c>
      <c r="Y64" s="49">
        <f>SUM(Y61:Y63)</f>
        <v>21189</v>
      </c>
      <c r="Z64" s="49">
        <f>SUM(Z61:Z63)</f>
        <v>22112</v>
      </c>
    </row>
    <row r="65" spans="1:26" ht="13.9" customHeight="1" x14ac:dyDescent="0.25">
      <c r="A65" s="15">
        <v>2</v>
      </c>
      <c r="B65" s="15">
        <v>2</v>
      </c>
      <c r="C65" s="15">
        <v>4</v>
      </c>
      <c r="D65" s="91" t="s">
        <v>138</v>
      </c>
      <c r="E65" s="24">
        <v>640</v>
      </c>
      <c r="F65" s="24" t="s">
        <v>134</v>
      </c>
      <c r="G65" s="25">
        <v>65.790000000000006</v>
      </c>
      <c r="H65" s="25">
        <v>61.14</v>
      </c>
      <c r="I65" s="25">
        <v>69</v>
      </c>
      <c r="J65" s="25">
        <v>69</v>
      </c>
      <c r="K65" s="25">
        <v>76</v>
      </c>
      <c r="L65" s="25"/>
      <c r="M65" s="25"/>
      <c r="N65" s="25"/>
      <c r="O65" s="25"/>
      <c r="P65" s="25">
        <f>K65+SUM(L65:O65)</f>
        <v>76</v>
      </c>
      <c r="Q65" s="25">
        <v>0</v>
      </c>
      <c r="R65" s="26">
        <f t="shared" si="44"/>
        <v>0</v>
      </c>
      <c r="S65" s="25"/>
      <c r="T65" s="26">
        <f t="shared" si="45"/>
        <v>0</v>
      </c>
      <c r="U65" s="25"/>
      <c r="V65" s="26">
        <f t="shared" si="46"/>
        <v>0</v>
      </c>
      <c r="W65" s="25"/>
      <c r="X65" s="26">
        <f t="shared" si="47"/>
        <v>0</v>
      </c>
      <c r="Y65" s="25">
        <f>K65</f>
        <v>76</v>
      </c>
      <c r="Z65" s="25">
        <f>Y65</f>
        <v>76</v>
      </c>
    </row>
    <row r="66" spans="1:26" ht="13.9" customHeight="1" x14ac:dyDescent="0.25">
      <c r="A66" s="15">
        <v>3</v>
      </c>
      <c r="B66" s="15">
        <v>3</v>
      </c>
      <c r="C66" s="15">
        <v>5</v>
      </c>
      <c r="D66" s="79" t="s">
        <v>21</v>
      </c>
      <c r="E66" s="48">
        <v>72</v>
      </c>
      <c r="F66" s="48" t="s">
        <v>25</v>
      </c>
      <c r="G66" s="49">
        <f t="shared" ref="G66:Q66" si="49">SUM(G65)</f>
        <v>65.790000000000006</v>
      </c>
      <c r="H66" s="49">
        <f t="shared" si="49"/>
        <v>61.14</v>
      </c>
      <c r="I66" s="49">
        <f t="shared" si="49"/>
        <v>69</v>
      </c>
      <c r="J66" s="49">
        <f t="shared" si="49"/>
        <v>69</v>
      </c>
      <c r="K66" s="49">
        <f t="shared" si="49"/>
        <v>76</v>
      </c>
      <c r="L66" s="49">
        <f t="shared" si="49"/>
        <v>0</v>
      </c>
      <c r="M66" s="49">
        <f t="shared" si="49"/>
        <v>0</v>
      </c>
      <c r="N66" s="49">
        <f t="shared" si="49"/>
        <v>0</v>
      </c>
      <c r="O66" s="49">
        <f t="shared" si="49"/>
        <v>0</v>
      </c>
      <c r="P66" s="49">
        <f t="shared" si="49"/>
        <v>76</v>
      </c>
      <c r="Q66" s="49">
        <f t="shared" si="49"/>
        <v>0</v>
      </c>
      <c r="R66" s="50">
        <f t="shared" si="44"/>
        <v>0</v>
      </c>
      <c r="S66" s="49">
        <f>SUM(S65)</f>
        <v>0</v>
      </c>
      <c r="T66" s="50">
        <f t="shared" si="45"/>
        <v>0</v>
      </c>
      <c r="U66" s="49">
        <f>SUM(U65)</f>
        <v>0</v>
      </c>
      <c r="V66" s="50">
        <f t="shared" si="46"/>
        <v>0</v>
      </c>
      <c r="W66" s="49">
        <f>SUM(W65)</f>
        <v>0</v>
      </c>
      <c r="X66" s="50">
        <f t="shared" si="47"/>
        <v>0</v>
      </c>
      <c r="Y66" s="49">
        <f>SUM(Y65)</f>
        <v>76</v>
      </c>
      <c r="Z66" s="49">
        <f>SUM(Z65)</f>
        <v>76</v>
      </c>
    </row>
    <row r="67" spans="1:26" ht="13.9" customHeight="1" x14ac:dyDescent="0.25">
      <c r="A67" s="15">
        <v>4</v>
      </c>
      <c r="B67" s="15">
        <v>4</v>
      </c>
      <c r="C67" s="15">
        <v>6</v>
      </c>
      <c r="D67" s="86"/>
      <c r="E67" s="87"/>
      <c r="F67" s="27" t="s">
        <v>126</v>
      </c>
      <c r="G67" s="28">
        <f t="shared" ref="G67:Q67" si="50">G64+G66</f>
        <v>13133.36</v>
      </c>
      <c r="H67" s="28">
        <f t="shared" si="50"/>
        <v>15877.48</v>
      </c>
      <c r="I67" s="28">
        <f t="shared" si="50"/>
        <v>17365</v>
      </c>
      <c r="J67" s="28">
        <f t="shared" si="50"/>
        <v>18280</v>
      </c>
      <c r="K67" s="28">
        <f t="shared" si="50"/>
        <v>19585</v>
      </c>
      <c r="L67" s="28">
        <f t="shared" si="50"/>
        <v>0</v>
      </c>
      <c r="M67" s="28">
        <f t="shared" si="50"/>
        <v>0</v>
      </c>
      <c r="N67" s="28">
        <f t="shared" si="50"/>
        <v>0</v>
      </c>
      <c r="O67" s="28">
        <f t="shared" si="50"/>
        <v>0</v>
      </c>
      <c r="P67" s="28">
        <f t="shared" si="50"/>
        <v>19585</v>
      </c>
      <c r="Q67" s="28">
        <f t="shared" si="50"/>
        <v>4462.8999999999996</v>
      </c>
      <c r="R67" s="29">
        <f t="shared" si="44"/>
        <v>0.22787337247893794</v>
      </c>
      <c r="S67" s="28">
        <f>S64+S66</f>
        <v>0</v>
      </c>
      <c r="T67" s="29">
        <f t="shared" si="45"/>
        <v>0</v>
      </c>
      <c r="U67" s="28">
        <f>U64+U66</f>
        <v>0</v>
      </c>
      <c r="V67" s="29">
        <f t="shared" si="46"/>
        <v>0</v>
      </c>
      <c r="W67" s="28">
        <f>W64+W66</f>
        <v>0</v>
      </c>
      <c r="X67" s="29">
        <f t="shared" si="47"/>
        <v>0</v>
      </c>
      <c r="Y67" s="28">
        <f>Y64+Y66</f>
        <v>21265</v>
      </c>
      <c r="Z67" s="28">
        <f>Z64+Z66</f>
        <v>22188</v>
      </c>
    </row>
    <row r="68" spans="1:26" ht="13.9" customHeight="1" x14ac:dyDescent="0.25">
      <c r="D68" s="88"/>
      <c r="E68" s="44"/>
      <c r="F68" s="44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90"/>
      <c r="S68" s="89"/>
      <c r="T68" s="90"/>
      <c r="U68" s="89"/>
      <c r="V68" s="90"/>
      <c r="W68" s="89"/>
      <c r="X68" s="90"/>
      <c r="Y68" s="89"/>
      <c r="Z68" s="89"/>
    </row>
    <row r="69" spans="1:26" ht="13.9" customHeight="1" x14ac:dyDescent="0.25">
      <c r="D69" s="6" t="s">
        <v>139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9" customHeight="1" x14ac:dyDescent="0.25">
      <c r="D70" s="21" t="s">
        <v>32</v>
      </c>
      <c r="E70" s="21" t="s">
        <v>33</v>
      </c>
      <c r="F70" s="21" t="s">
        <v>34</v>
      </c>
      <c r="G70" s="21" t="s">
        <v>1</v>
      </c>
      <c r="H70" s="21" t="s">
        <v>2</v>
      </c>
      <c r="I70" s="21" t="s">
        <v>3</v>
      </c>
      <c r="J70" s="21" t="s">
        <v>4</v>
      </c>
      <c r="K70" s="21" t="s">
        <v>5</v>
      </c>
      <c r="L70" s="21" t="s">
        <v>6</v>
      </c>
      <c r="M70" s="21" t="s">
        <v>7</v>
      </c>
      <c r="N70" s="21" t="s">
        <v>8</v>
      </c>
      <c r="O70" s="21" t="s">
        <v>9</v>
      </c>
      <c r="P70" s="21" t="s">
        <v>123</v>
      </c>
      <c r="Q70" s="21" t="s">
        <v>11</v>
      </c>
      <c r="R70" s="22" t="s">
        <v>12</v>
      </c>
      <c r="S70" s="21" t="s">
        <v>13</v>
      </c>
      <c r="T70" s="22" t="s">
        <v>14</v>
      </c>
      <c r="U70" s="21" t="s">
        <v>15</v>
      </c>
      <c r="V70" s="22" t="s">
        <v>16</v>
      </c>
      <c r="W70" s="21" t="s">
        <v>17</v>
      </c>
      <c r="X70" s="22" t="s">
        <v>18</v>
      </c>
      <c r="Y70" s="21" t="s">
        <v>19</v>
      </c>
      <c r="Z70" s="21" t="s">
        <v>20</v>
      </c>
    </row>
    <row r="71" spans="1:26" ht="13.9" customHeight="1" x14ac:dyDescent="0.25">
      <c r="A71" s="15">
        <v>1</v>
      </c>
      <c r="B71" s="15">
        <v>1</v>
      </c>
      <c r="C71" s="15">
        <v>4</v>
      </c>
      <c r="D71" s="11" t="s">
        <v>130</v>
      </c>
      <c r="E71" s="24">
        <v>630</v>
      </c>
      <c r="F71" s="24" t="s">
        <v>133</v>
      </c>
      <c r="G71" s="25">
        <v>14039.46</v>
      </c>
      <c r="H71" s="25">
        <v>25459.84</v>
      </c>
      <c r="I71" s="25">
        <v>30673</v>
      </c>
      <c r="J71" s="25">
        <v>21878</v>
      </c>
      <c r="K71" s="25">
        <v>24787</v>
      </c>
      <c r="L71" s="25">
        <v>2134</v>
      </c>
      <c r="M71" s="25"/>
      <c r="N71" s="25"/>
      <c r="O71" s="25"/>
      <c r="P71" s="25">
        <f>K71+SUM(L71:O71)</f>
        <v>26921</v>
      </c>
      <c r="Q71" s="25">
        <v>3565.29</v>
      </c>
      <c r="R71" s="26">
        <f>IFERROR(Q71/$P71,0)</f>
        <v>0.13243527357824747</v>
      </c>
      <c r="S71" s="25"/>
      <c r="T71" s="26">
        <f>IFERROR(S71/$P71,0)</f>
        <v>0</v>
      </c>
      <c r="U71" s="25"/>
      <c r="V71" s="26">
        <f>IFERROR(U71/$P71,0)</f>
        <v>0</v>
      </c>
      <c r="W71" s="25"/>
      <c r="X71" s="26">
        <f>IFERROR(W71/$P71,0)</f>
        <v>0</v>
      </c>
      <c r="Y71" s="25">
        <f>K71</f>
        <v>24787</v>
      </c>
      <c r="Z71" s="25">
        <f>Y71</f>
        <v>24787</v>
      </c>
    </row>
    <row r="72" spans="1:26" ht="13.9" customHeight="1" x14ac:dyDescent="0.25">
      <c r="A72" s="15">
        <v>1</v>
      </c>
      <c r="B72" s="15">
        <v>1</v>
      </c>
      <c r="C72" s="15">
        <v>4</v>
      </c>
      <c r="D72" s="11"/>
      <c r="E72" s="24">
        <v>640</v>
      </c>
      <c r="F72" s="24" t="s">
        <v>134</v>
      </c>
      <c r="G72" s="25">
        <v>258.5</v>
      </c>
      <c r="H72" s="25">
        <v>258.8</v>
      </c>
      <c r="I72" s="25">
        <v>259</v>
      </c>
      <c r="J72" s="25">
        <v>3792</v>
      </c>
      <c r="K72" s="25">
        <v>4031</v>
      </c>
      <c r="L72" s="25"/>
      <c r="M72" s="25"/>
      <c r="N72" s="25"/>
      <c r="O72" s="25"/>
      <c r="P72" s="25">
        <f>K72+SUM(L72:O72)</f>
        <v>4031</v>
      </c>
      <c r="Q72" s="25">
        <v>260.10000000000002</v>
      </c>
      <c r="R72" s="26">
        <f>IFERROR(Q72/$P72,0)</f>
        <v>6.4524931778714961E-2</v>
      </c>
      <c r="S72" s="25"/>
      <c r="T72" s="26">
        <f>IFERROR(S72/$P72,0)</f>
        <v>0</v>
      </c>
      <c r="U72" s="25"/>
      <c r="V72" s="26">
        <f>IFERROR(U72/$P72,0)</f>
        <v>0</v>
      </c>
      <c r="W72" s="25"/>
      <c r="X72" s="26">
        <f>IFERROR(W72/$P72,0)</f>
        <v>0</v>
      </c>
      <c r="Y72" s="25">
        <f>K72</f>
        <v>4031</v>
      </c>
      <c r="Z72" s="25">
        <f>Y72</f>
        <v>4031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51" t="s">
        <v>138</v>
      </c>
      <c r="E73" s="24">
        <v>630</v>
      </c>
      <c r="F73" s="24" t="s">
        <v>140</v>
      </c>
      <c r="G73" s="25">
        <v>251.79</v>
      </c>
      <c r="H73" s="25">
        <v>248.35</v>
      </c>
      <c r="I73" s="25">
        <v>202</v>
      </c>
      <c r="J73" s="25">
        <v>190</v>
      </c>
      <c r="K73" s="25">
        <v>190</v>
      </c>
      <c r="L73" s="25"/>
      <c r="M73" s="25"/>
      <c r="N73" s="25"/>
      <c r="O73" s="25"/>
      <c r="P73" s="25">
        <f>K73+SUM(L73:O73)</f>
        <v>190</v>
      </c>
      <c r="Q73" s="25">
        <v>89.42</v>
      </c>
      <c r="R73" s="26">
        <f>IFERROR(Q73/$P73,0)</f>
        <v>0.47063157894736846</v>
      </c>
      <c r="S73" s="25"/>
      <c r="T73" s="26">
        <f>IFERROR(S73/$P73,0)</f>
        <v>0</v>
      </c>
      <c r="U73" s="25"/>
      <c r="V73" s="26">
        <f>IFERROR(U73/$P73,0)</f>
        <v>0</v>
      </c>
      <c r="W73" s="25"/>
      <c r="X73" s="26">
        <f>IFERROR(W73/$P73,0)</f>
        <v>0</v>
      </c>
      <c r="Y73" s="25">
        <f>K73</f>
        <v>190</v>
      </c>
      <c r="Z73" s="25">
        <f>Y73</f>
        <v>190</v>
      </c>
    </row>
    <row r="74" spans="1:26" ht="13.9" customHeight="1" x14ac:dyDescent="0.25">
      <c r="A74" s="15">
        <v>1</v>
      </c>
      <c r="B74" s="15">
        <v>1</v>
      </c>
      <c r="C74" s="15">
        <v>4</v>
      </c>
      <c r="D74" s="79" t="s">
        <v>21</v>
      </c>
      <c r="E74" s="48">
        <v>41</v>
      </c>
      <c r="F74" s="48" t="s">
        <v>23</v>
      </c>
      <c r="G74" s="49">
        <f t="shared" ref="G74:Q74" si="51">SUM(G71:G73)</f>
        <v>14549.75</v>
      </c>
      <c r="H74" s="49">
        <f t="shared" si="51"/>
        <v>25966.989999999998</v>
      </c>
      <c r="I74" s="49">
        <f t="shared" si="51"/>
        <v>31134</v>
      </c>
      <c r="J74" s="49">
        <f t="shared" si="51"/>
        <v>25860</v>
      </c>
      <c r="K74" s="49">
        <f t="shared" si="51"/>
        <v>29008</v>
      </c>
      <c r="L74" s="49">
        <f t="shared" si="51"/>
        <v>2134</v>
      </c>
      <c r="M74" s="49">
        <f t="shared" si="51"/>
        <v>0</v>
      </c>
      <c r="N74" s="49">
        <f t="shared" si="51"/>
        <v>0</v>
      </c>
      <c r="O74" s="49">
        <f t="shared" si="51"/>
        <v>0</v>
      </c>
      <c r="P74" s="49">
        <f t="shared" si="51"/>
        <v>31142</v>
      </c>
      <c r="Q74" s="49">
        <f t="shared" si="51"/>
        <v>3914.81</v>
      </c>
      <c r="R74" s="50">
        <f>IFERROR(Q74/$P74,0)</f>
        <v>0.12570836812022348</v>
      </c>
      <c r="S74" s="49">
        <f>SUM(S71:S73)</f>
        <v>0</v>
      </c>
      <c r="T74" s="50">
        <f>IFERROR(S74/$P74,0)</f>
        <v>0</v>
      </c>
      <c r="U74" s="49">
        <f>SUM(U71:U73)</f>
        <v>0</v>
      </c>
      <c r="V74" s="50">
        <f>IFERROR(U74/$P74,0)</f>
        <v>0</v>
      </c>
      <c r="W74" s="49">
        <f>SUM(W71:W73)</f>
        <v>0</v>
      </c>
      <c r="X74" s="50">
        <f>IFERROR(W74/$P74,0)</f>
        <v>0</v>
      </c>
      <c r="Y74" s="49">
        <f>SUM(Y71:Y73)</f>
        <v>29008</v>
      </c>
      <c r="Z74" s="49">
        <f>SUM(Z71:Z73)</f>
        <v>29008</v>
      </c>
    </row>
    <row r="75" spans="1:26" ht="13.9" customHeight="1" x14ac:dyDescent="0.25">
      <c r="A75" s="15">
        <v>1</v>
      </c>
      <c r="B75" s="15">
        <v>1</v>
      </c>
      <c r="C75" s="15">
        <v>4</v>
      </c>
      <c r="D75" s="86"/>
      <c r="E75" s="87"/>
      <c r="F75" s="27" t="s">
        <v>126</v>
      </c>
      <c r="G75" s="28">
        <f t="shared" ref="G75:Q75" si="52">G74</f>
        <v>14549.75</v>
      </c>
      <c r="H75" s="28">
        <f t="shared" si="52"/>
        <v>25966.989999999998</v>
      </c>
      <c r="I75" s="28">
        <f t="shared" si="52"/>
        <v>31134</v>
      </c>
      <c r="J75" s="28">
        <f t="shared" si="52"/>
        <v>25860</v>
      </c>
      <c r="K75" s="28">
        <f t="shared" si="52"/>
        <v>29008</v>
      </c>
      <c r="L75" s="28">
        <f t="shared" si="52"/>
        <v>2134</v>
      </c>
      <c r="M75" s="28">
        <f t="shared" si="52"/>
        <v>0</v>
      </c>
      <c r="N75" s="28">
        <f t="shared" si="52"/>
        <v>0</v>
      </c>
      <c r="O75" s="28">
        <f t="shared" si="52"/>
        <v>0</v>
      </c>
      <c r="P75" s="28">
        <f t="shared" si="52"/>
        <v>31142</v>
      </c>
      <c r="Q75" s="28">
        <f t="shared" si="52"/>
        <v>3914.81</v>
      </c>
      <c r="R75" s="29">
        <f>IFERROR(Q75/$P75,0)</f>
        <v>0.12570836812022348</v>
      </c>
      <c r="S75" s="28">
        <f>S74</f>
        <v>0</v>
      </c>
      <c r="T75" s="29">
        <f>IFERROR(S75/$P75,0)</f>
        <v>0</v>
      </c>
      <c r="U75" s="28">
        <f>U74</f>
        <v>0</v>
      </c>
      <c r="V75" s="29">
        <f>IFERROR(U75/$P75,0)</f>
        <v>0</v>
      </c>
      <c r="W75" s="28">
        <f>W74</f>
        <v>0</v>
      </c>
      <c r="X75" s="29">
        <f>IFERROR(W75/$P75,0)</f>
        <v>0</v>
      </c>
      <c r="Y75" s="28">
        <f>Y74</f>
        <v>29008</v>
      </c>
      <c r="Z75" s="28">
        <f>Z74</f>
        <v>29008</v>
      </c>
    </row>
    <row r="76" spans="1:26" ht="13.9" customHeight="1" x14ac:dyDescent="0.25">
      <c r="D76" s="88"/>
      <c r="E76" s="44"/>
      <c r="F76" s="44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90"/>
      <c r="S76" s="89"/>
      <c r="T76" s="90"/>
      <c r="U76" s="89"/>
      <c r="V76" s="90"/>
      <c r="W76" s="89"/>
      <c r="X76" s="90"/>
      <c r="Y76" s="89"/>
      <c r="Z76" s="89"/>
    </row>
    <row r="77" spans="1:26" ht="13.9" customHeight="1" x14ac:dyDescent="0.25">
      <c r="D77" s="88"/>
      <c r="E77" s="52" t="s">
        <v>55</v>
      </c>
      <c r="F77" s="30" t="s">
        <v>141</v>
      </c>
      <c r="G77" s="53">
        <v>2615.9499999999998</v>
      </c>
      <c r="H77" s="53">
        <v>2588.9499999999998</v>
      </c>
      <c r="I77" s="53">
        <v>2450</v>
      </c>
      <c r="J77" s="53">
        <v>2866</v>
      </c>
      <c r="K77" s="53">
        <v>2900</v>
      </c>
      <c r="L77" s="53"/>
      <c r="M77" s="53"/>
      <c r="N77" s="53"/>
      <c r="O77" s="53"/>
      <c r="P77" s="53">
        <f>K77+SUM(L77:O77)</f>
        <v>2900</v>
      </c>
      <c r="Q77" s="53">
        <v>462.4</v>
      </c>
      <c r="R77" s="54">
        <f>IFERROR(Q77/$P77,0)</f>
        <v>0.15944827586206894</v>
      </c>
      <c r="S77" s="53"/>
      <c r="T77" s="54">
        <f>IFERROR(S77/$P77,0)</f>
        <v>0</v>
      </c>
      <c r="U77" s="53"/>
      <c r="V77" s="54">
        <f>IFERROR(U77/$P77,0)</f>
        <v>0</v>
      </c>
      <c r="W77" s="53"/>
      <c r="X77" s="55">
        <f>IFERROR(W77/$P77,0)</f>
        <v>0</v>
      </c>
      <c r="Y77" s="53">
        <f>K77</f>
        <v>2900</v>
      </c>
      <c r="Z77" s="56">
        <f>Y77</f>
        <v>2900</v>
      </c>
    </row>
    <row r="78" spans="1:26" ht="13.9" customHeight="1" x14ac:dyDescent="0.25">
      <c r="D78" s="88"/>
      <c r="E78" s="57"/>
      <c r="F78" s="92" t="s">
        <v>142</v>
      </c>
      <c r="G78" s="93">
        <v>913.96</v>
      </c>
      <c r="H78" s="93">
        <v>7374.24</v>
      </c>
      <c r="I78" s="93">
        <v>5000</v>
      </c>
      <c r="J78" s="93">
        <v>4428</v>
      </c>
      <c r="K78" s="93">
        <v>5000</v>
      </c>
      <c r="L78" s="93"/>
      <c r="M78" s="93"/>
      <c r="N78" s="93"/>
      <c r="O78" s="93"/>
      <c r="P78" s="93">
        <f>K78+SUM(L78:O78)</f>
        <v>5000</v>
      </c>
      <c r="Q78" s="93">
        <v>1426</v>
      </c>
      <c r="R78" s="94">
        <f>IFERROR(Q78/$P78,0)</f>
        <v>0.28520000000000001</v>
      </c>
      <c r="S78" s="93"/>
      <c r="T78" s="94">
        <f>IFERROR(S78/$P78,0)</f>
        <v>0</v>
      </c>
      <c r="U78" s="93"/>
      <c r="V78" s="94">
        <f>IFERROR(U78/$P78,0)</f>
        <v>0</v>
      </c>
      <c r="W78" s="93"/>
      <c r="X78" s="64">
        <f>IFERROR(W78/$P78,0)</f>
        <v>0</v>
      </c>
      <c r="Y78" s="59">
        <f>K78</f>
        <v>5000</v>
      </c>
      <c r="Z78" s="61">
        <f>Y78</f>
        <v>5000</v>
      </c>
    </row>
    <row r="79" spans="1:26" ht="13.9" customHeight="1" x14ac:dyDescent="0.25">
      <c r="D79" s="88"/>
      <c r="E79" s="57"/>
      <c r="F79" s="15" t="s">
        <v>143</v>
      </c>
      <c r="G79" s="59">
        <v>2178</v>
      </c>
      <c r="H79" s="59">
        <v>2379.6</v>
      </c>
      <c r="I79" s="59">
        <v>2380</v>
      </c>
      <c r="J79" s="59">
        <v>2633</v>
      </c>
      <c r="K79" s="59">
        <v>2780</v>
      </c>
      <c r="L79" s="59"/>
      <c r="M79" s="59"/>
      <c r="N79" s="59"/>
      <c r="O79" s="59"/>
      <c r="P79" s="59">
        <f>K79+SUM(L79:O79)</f>
        <v>2780</v>
      </c>
      <c r="Q79" s="59">
        <v>654.37</v>
      </c>
      <c r="R79" s="16">
        <f>IFERROR(Q79/$P79,0)</f>
        <v>0.23538489208633093</v>
      </c>
      <c r="S79" s="59"/>
      <c r="T79" s="16">
        <f>IFERROR(S79/$P79,0)</f>
        <v>0</v>
      </c>
      <c r="U79" s="59"/>
      <c r="V79" s="16">
        <f>IFERROR(U79/$P79,0)</f>
        <v>0</v>
      </c>
      <c r="W79" s="59"/>
      <c r="X79" s="60">
        <f>IFERROR(W79/$P79,0)</f>
        <v>0</v>
      </c>
      <c r="Y79" s="59">
        <f>K79</f>
        <v>2780</v>
      </c>
      <c r="Z79" s="61">
        <f>Y79</f>
        <v>2780</v>
      </c>
    </row>
    <row r="80" spans="1:26" ht="13.9" customHeight="1" x14ac:dyDescent="0.25">
      <c r="D80" s="88"/>
      <c r="E80" s="57"/>
      <c r="F80" s="92" t="s">
        <v>144</v>
      </c>
      <c r="G80" s="95">
        <v>3249.6</v>
      </c>
      <c r="H80" s="95">
        <v>2140.8000000000002</v>
      </c>
      <c r="I80" s="95">
        <f>2141+3500</f>
        <v>5641</v>
      </c>
      <c r="J80" s="95">
        <v>5754</v>
      </c>
      <c r="K80" s="95">
        <v>4271</v>
      </c>
      <c r="L80" s="95"/>
      <c r="M80" s="95"/>
      <c r="N80" s="95"/>
      <c r="O80" s="95"/>
      <c r="P80" s="95">
        <f>K80+SUM(L80:O80)</f>
        <v>4271</v>
      </c>
      <c r="Q80" s="95">
        <v>0</v>
      </c>
      <c r="R80" s="96">
        <f>IFERROR(Q80/$P80,0)</f>
        <v>0</v>
      </c>
      <c r="S80" s="95"/>
      <c r="T80" s="96">
        <f>IFERROR(S80/$P80,0)</f>
        <v>0</v>
      </c>
      <c r="U80" s="95"/>
      <c r="V80" s="96">
        <f>IFERROR(U80/$P80,0)</f>
        <v>0</v>
      </c>
      <c r="W80" s="95"/>
      <c r="X80" s="60">
        <f>IFERROR(W80/$P80,0)</f>
        <v>0</v>
      </c>
      <c r="Y80" s="59">
        <f>K80</f>
        <v>4271</v>
      </c>
      <c r="Z80" s="61">
        <f>Y80</f>
        <v>4271</v>
      </c>
    </row>
    <row r="81" spans="1:26" ht="13.9" customHeight="1" x14ac:dyDescent="0.25">
      <c r="D81" s="88"/>
      <c r="E81" s="65"/>
      <c r="F81" s="97" t="s">
        <v>145</v>
      </c>
      <c r="G81" s="67"/>
      <c r="H81" s="67"/>
      <c r="I81" s="67">
        <v>10000</v>
      </c>
      <c r="J81" s="67">
        <v>1330</v>
      </c>
      <c r="K81" s="67">
        <v>8000</v>
      </c>
      <c r="L81" s="67">
        <v>2134</v>
      </c>
      <c r="M81" s="67"/>
      <c r="N81" s="67"/>
      <c r="O81" s="67"/>
      <c r="P81" s="67">
        <f>K81+SUM(L81:O81)</f>
        <v>10134</v>
      </c>
      <c r="Q81" s="67">
        <v>0</v>
      </c>
      <c r="R81" s="68">
        <f>IFERROR(Q81/$P81,0)</f>
        <v>0</v>
      </c>
      <c r="S81" s="67"/>
      <c r="T81" s="68">
        <f>IFERROR(S81/$P81,0)</f>
        <v>0</v>
      </c>
      <c r="U81" s="67"/>
      <c r="V81" s="68">
        <f>IFERROR(U81/$P81,0)</f>
        <v>0</v>
      </c>
      <c r="W81" s="67"/>
      <c r="X81" s="69">
        <f>IFERROR(W81/$P81,0)</f>
        <v>0</v>
      </c>
      <c r="Y81" s="67">
        <f>K81</f>
        <v>8000</v>
      </c>
      <c r="Z81" s="70">
        <f>Y81</f>
        <v>8000</v>
      </c>
    </row>
    <row r="82" spans="1:26" ht="13.9" customHeight="1" x14ac:dyDescent="0.25">
      <c r="D82" s="88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S82" s="59"/>
      <c r="U82" s="59"/>
      <c r="W82" s="59"/>
      <c r="Y82" s="59"/>
      <c r="Z82" s="59"/>
    </row>
    <row r="83" spans="1:26" ht="13.9" customHeight="1" x14ac:dyDescent="0.25">
      <c r="D83" s="6" t="s">
        <v>146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9" customHeight="1" x14ac:dyDescent="0.25">
      <c r="D84" s="21" t="s">
        <v>32</v>
      </c>
      <c r="E84" s="21" t="s">
        <v>33</v>
      </c>
      <c r="F84" s="21" t="s">
        <v>34</v>
      </c>
      <c r="G84" s="21" t="s">
        <v>1</v>
      </c>
      <c r="H84" s="21" t="s">
        <v>2</v>
      </c>
      <c r="I84" s="21" t="s">
        <v>3</v>
      </c>
      <c r="J84" s="21" t="s">
        <v>4</v>
      </c>
      <c r="K84" s="21" t="s">
        <v>5</v>
      </c>
      <c r="L84" s="21" t="s">
        <v>6</v>
      </c>
      <c r="M84" s="21" t="s">
        <v>7</v>
      </c>
      <c r="N84" s="21" t="s">
        <v>8</v>
      </c>
      <c r="O84" s="21" t="s">
        <v>9</v>
      </c>
      <c r="P84" s="21" t="s">
        <v>123</v>
      </c>
      <c r="Q84" s="21" t="s">
        <v>11</v>
      </c>
      <c r="R84" s="22" t="s">
        <v>12</v>
      </c>
      <c r="S84" s="21" t="s">
        <v>13</v>
      </c>
      <c r="T84" s="22" t="s">
        <v>14</v>
      </c>
      <c r="U84" s="21" t="s">
        <v>15</v>
      </c>
      <c r="V84" s="22" t="s">
        <v>16</v>
      </c>
      <c r="W84" s="21" t="s">
        <v>17</v>
      </c>
      <c r="X84" s="22" t="s">
        <v>18</v>
      </c>
      <c r="Y84" s="21" t="s">
        <v>19</v>
      </c>
      <c r="Z84" s="21" t="s">
        <v>20</v>
      </c>
    </row>
    <row r="85" spans="1:26" ht="13.9" hidden="1" customHeight="1" x14ac:dyDescent="0.25">
      <c r="A85" s="15">
        <v>1</v>
      </c>
      <c r="B85" s="15">
        <v>1</v>
      </c>
      <c r="C85" s="15">
        <v>5</v>
      </c>
      <c r="D85" s="51" t="s">
        <v>130</v>
      </c>
      <c r="E85" s="24">
        <v>630</v>
      </c>
      <c r="F85" s="24" t="s">
        <v>133</v>
      </c>
      <c r="G85" s="46">
        <v>0</v>
      </c>
      <c r="H85" s="46">
        <v>7311.57</v>
      </c>
      <c r="I85" s="25">
        <v>0</v>
      </c>
      <c r="J85" s="25">
        <v>0</v>
      </c>
      <c r="K85" s="25">
        <v>0</v>
      </c>
      <c r="L85" s="25"/>
      <c r="M85" s="25"/>
      <c r="N85" s="25"/>
      <c r="O85" s="25"/>
      <c r="P85" s="46">
        <f>K85+SUM(L85:O85)</f>
        <v>0</v>
      </c>
      <c r="Q85" s="46"/>
      <c r="R85" s="47">
        <f t="shared" ref="R85:R93" si="53">IFERROR(Q85/$P85,0)</f>
        <v>0</v>
      </c>
      <c r="S85" s="46"/>
      <c r="T85" s="47">
        <f t="shared" ref="T85:T93" si="54">IFERROR(S85/$P85,0)</f>
        <v>0</v>
      </c>
      <c r="U85" s="46"/>
      <c r="V85" s="47">
        <f t="shared" ref="V85:V93" si="55">IFERROR(U85/$P85,0)</f>
        <v>0</v>
      </c>
      <c r="W85" s="46"/>
      <c r="X85" s="47">
        <f t="shared" ref="X85:X93" si="56">IFERROR(W85/$P85,0)</f>
        <v>0</v>
      </c>
      <c r="Y85" s="25">
        <v>0</v>
      </c>
      <c r="Z85" s="25">
        <v>0</v>
      </c>
    </row>
    <row r="86" spans="1:26" ht="13.9" hidden="1" customHeight="1" x14ac:dyDescent="0.25">
      <c r="A86" s="15">
        <v>1</v>
      </c>
      <c r="B86" s="15">
        <v>1</v>
      </c>
      <c r="C86" s="15">
        <v>5</v>
      </c>
      <c r="D86" s="79" t="s">
        <v>21</v>
      </c>
      <c r="E86" s="48">
        <v>111</v>
      </c>
      <c r="F86" s="48" t="s">
        <v>23</v>
      </c>
      <c r="G86" s="49">
        <f t="shared" ref="G86:Q86" si="57">SUM(G85)</f>
        <v>0</v>
      </c>
      <c r="H86" s="49">
        <f t="shared" si="57"/>
        <v>7311.57</v>
      </c>
      <c r="I86" s="49">
        <f t="shared" si="57"/>
        <v>0</v>
      </c>
      <c r="J86" s="49">
        <f t="shared" si="57"/>
        <v>0</v>
      </c>
      <c r="K86" s="49">
        <f t="shared" si="57"/>
        <v>0</v>
      </c>
      <c r="L86" s="49">
        <f t="shared" si="57"/>
        <v>0</v>
      </c>
      <c r="M86" s="49">
        <f t="shared" si="57"/>
        <v>0</v>
      </c>
      <c r="N86" s="49">
        <f t="shared" si="57"/>
        <v>0</v>
      </c>
      <c r="O86" s="49">
        <f t="shared" si="57"/>
        <v>0</v>
      </c>
      <c r="P86" s="49">
        <f t="shared" si="57"/>
        <v>0</v>
      </c>
      <c r="Q86" s="49">
        <f t="shared" si="57"/>
        <v>0</v>
      </c>
      <c r="R86" s="50">
        <f t="shared" si="53"/>
        <v>0</v>
      </c>
      <c r="S86" s="49">
        <f>SUM(S85)</f>
        <v>0</v>
      </c>
      <c r="T86" s="50">
        <f t="shared" si="54"/>
        <v>0</v>
      </c>
      <c r="U86" s="49">
        <f>SUM(U85)</f>
        <v>0</v>
      </c>
      <c r="V86" s="50">
        <f t="shared" si="55"/>
        <v>0</v>
      </c>
      <c r="W86" s="49">
        <f>SUM(W85)</f>
        <v>0</v>
      </c>
      <c r="X86" s="50">
        <f t="shared" si="56"/>
        <v>0</v>
      </c>
      <c r="Y86" s="49">
        <f>SUM(Y85)</f>
        <v>0</v>
      </c>
      <c r="Z86" s="49">
        <f>SUM(Z85)</f>
        <v>0</v>
      </c>
    </row>
    <row r="87" spans="1:26" ht="13.9" customHeight="1" x14ac:dyDescent="0.25">
      <c r="A87" s="15">
        <v>1</v>
      </c>
      <c r="B87" s="15">
        <v>1</v>
      </c>
      <c r="C87" s="15">
        <v>5</v>
      </c>
      <c r="D87" s="11" t="s">
        <v>130</v>
      </c>
      <c r="E87" s="24">
        <v>610</v>
      </c>
      <c r="F87" s="24" t="s">
        <v>131</v>
      </c>
      <c r="G87" s="25">
        <v>6153.5</v>
      </c>
      <c r="H87" s="46">
        <v>9364.5</v>
      </c>
      <c r="I87" s="25">
        <v>10050</v>
      </c>
      <c r="J87" s="25">
        <v>10012</v>
      </c>
      <c r="K87" s="25">
        <v>10493</v>
      </c>
      <c r="L87" s="25"/>
      <c r="M87" s="25"/>
      <c r="N87" s="25"/>
      <c r="O87" s="25"/>
      <c r="P87" s="46">
        <f>K87+SUM(L87:O87)</f>
        <v>10493</v>
      </c>
      <c r="Q87" s="46">
        <v>2410</v>
      </c>
      <c r="R87" s="47">
        <f t="shared" si="53"/>
        <v>0.22967692747545984</v>
      </c>
      <c r="S87" s="46"/>
      <c r="T87" s="47">
        <f t="shared" si="54"/>
        <v>0</v>
      </c>
      <c r="U87" s="46"/>
      <c r="V87" s="47">
        <f t="shared" si="55"/>
        <v>0</v>
      </c>
      <c r="W87" s="46"/>
      <c r="X87" s="47">
        <f t="shared" si="56"/>
        <v>0</v>
      </c>
      <c r="Y87" s="25">
        <v>10160</v>
      </c>
      <c r="Z87" s="25">
        <v>10650</v>
      </c>
    </row>
    <row r="88" spans="1:26" ht="13.9" customHeight="1" x14ac:dyDescent="0.25">
      <c r="A88" s="15">
        <v>1</v>
      </c>
      <c r="B88" s="15">
        <v>1</v>
      </c>
      <c r="C88" s="15">
        <v>5</v>
      </c>
      <c r="D88" s="11" t="s">
        <v>147</v>
      </c>
      <c r="E88" s="24">
        <v>620</v>
      </c>
      <c r="F88" s="24" t="s">
        <v>132</v>
      </c>
      <c r="G88" s="25">
        <v>2601.7600000000002</v>
      </c>
      <c r="H88" s="46">
        <v>3272.62</v>
      </c>
      <c r="I88" s="25">
        <v>4164</v>
      </c>
      <c r="J88" s="25">
        <v>3527</v>
      </c>
      <c r="K88" s="25">
        <v>3404</v>
      </c>
      <c r="L88" s="25"/>
      <c r="M88" s="25"/>
      <c r="N88" s="25"/>
      <c r="O88" s="25"/>
      <c r="P88" s="46">
        <f>K88+SUM(L88:O88)</f>
        <v>3404</v>
      </c>
      <c r="Q88" s="46">
        <v>782.01</v>
      </c>
      <c r="R88" s="47">
        <f t="shared" si="53"/>
        <v>0.22973266745005874</v>
      </c>
      <c r="S88" s="46"/>
      <c r="T88" s="47">
        <f t="shared" si="54"/>
        <v>0</v>
      </c>
      <c r="U88" s="46"/>
      <c r="V88" s="47">
        <f t="shared" si="55"/>
        <v>0</v>
      </c>
      <c r="W88" s="46"/>
      <c r="X88" s="47">
        <f t="shared" si="56"/>
        <v>0</v>
      </c>
      <c r="Y88" s="25">
        <v>3297</v>
      </c>
      <c r="Z88" s="25">
        <v>3456</v>
      </c>
    </row>
    <row r="89" spans="1:26" ht="13.9" customHeight="1" x14ac:dyDescent="0.25">
      <c r="A89" s="15">
        <v>1</v>
      </c>
      <c r="B89" s="15">
        <v>1</v>
      </c>
      <c r="C89" s="15">
        <v>5</v>
      </c>
      <c r="D89" s="11" t="s">
        <v>148</v>
      </c>
      <c r="E89" s="24">
        <v>630</v>
      </c>
      <c r="F89" s="24" t="s">
        <v>133</v>
      </c>
      <c r="G89" s="25">
        <v>29350.68</v>
      </c>
      <c r="H89" s="46">
        <v>23501.93</v>
      </c>
      <c r="I89" s="25">
        <f>3419+29111</f>
        <v>32530</v>
      </c>
      <c r="J89" s="25">
        <v>28115</v>
      </c>
      <c r="K89" s="25">
        <f>1460+19049</f>
        <v>20509</v>
      </c>
      <c r="L89" s="25"/>
      <c r="M89" s="25"/>
      <c r="N89" s="25"/>
      <c r="O89" s="25"/>
      <c r="P89" s="46">
        <f>K89+SUM(L89:O89)</f>
        <v>20509</v>
      </c>
      <c r="Q89" s="46">
        <v>6196.56</v>
      </c>
      <c r="R89" s="47">
        <f t="shared" si="53"/>
        <v>0.30213857330927885</v>
      </c>
      <c r="S89" s="46"/>
      <c r="T89" s="47">
        <f t="shared" si="54"/>
        <v>0</v>
      </c>
      <c r="U89" s="46"/>
      <c r="V89" s="47">
        <f t="shared" si="55"/>
        <v>0</v>
      </c>
      <c r="W89" s="46"/>
      <c r="X89" s="47">
        <f t="shared" si="56"/>
        <v>0</v>
      </c>
      <c r="Y89" s="25">
        <f>1469+19049</f>
        <v>20518</v>
      </c>
      <c r="Z89" s="25">
        <f>1479+19049</f>
        <v>20528</v>
      </c>
    </row>
    <row r="90" spans="1:26" ht="13.9" customHeight="1" x14ac:dyDescent="0.25">
      <c r="A90" s="15">
        <v>1</v>
      </c>
      <c r="B90" s="15">
        <v>1</v>
      </c>
      <c r="C90" s="15">
        <v>5</v>
      </c>
      <c r="D90" s="79" t="s">
        <v>21</v>
      </c>
      <c r="E90" s="48">
        <v>41</v>
      </c>
      <c r="F90" s="48" t="s">
        <v>23</v>
      </c>
      <c r="G90" s="49">
        <f t="shared" ref="G90:Q90" si="58">SUM(G87:G89)</f>
        <v>38105.94</v>
      </c>
      <c r="H90" s="49">
        <f t="shared" si="58"/>
        <v>36139.050000000003</v>
      </c>
      <c r="I90" s="49">
        <f t="shared" si="58"/>
        <v>46744</v>
      </c>
      <c r="J90" s="49">
        <f t="shared" si="58"/>
        <v>41654</v>
      </c>
      <c r="K90" s="49">
        <f t="shared" si="58"/>
        <v>34406</v>
      </c>
      <c r="L90" s="49">
        <f t="shared" si="58"/>
        <v>0</v>
      </c>
      <c r="M90" s="49">
        <f t="shared" si="58"/>
        <v>0</v>
      </c>
      <c r="N90" s="49">
        <f t="shared" si="58"/>
        <v>0</v>
      </c>
      <c r="O90" s="49">
        <f t="shared" si="58"/>
        <v>0</v>
      </c>
      <c r="P90" s="49">
        <f t="shared" si="58"/>
        <v>34406</v>
      </c>
      <c r="Q90" s="49">
        <f t="shared" si="58"/>
        <v>9388.57</v>
      </c>
      <c r="R90" s="50">
        <f t="shared" si="53"/>
        <v>0.2728759518688601</v>
      </c>
      <c r="S90" s="49">
        <f>SUM(S87:S89)</f>
        <v>0</v>
      </c>
      <c r="T90" s="50">
        <f t="shared" si="54"/>
        <v>0</v>
      </c>
      <c r="U90" s="49">
        <f>SUM(U87:U89)</f>
        <v>0</v>
      </c>
      <c r="V90" s="50">
        <f t="shared" si="55"/>
        <v>0</v>
      </c>
      <c r="W90" s="49">
        <f>SUM(W87:W89)</f>
        <v>0</v>
      </c>
      <c r="X90" s="50">
        <f t="shared" si="56"/>
        <v>0</v>
      </c>
      <c r="Y90" s="49">
        <f>SUM(Y87:Y89)</f>
        <v>33975</v>
      </c>
      <c r="Z90" s="49">
        <f>SUM(Z87:Z89)</f>
        <v>34634</v>
      </c>
    </row>
    <row r="91" spans="1:26" ht="13.9" customHeight="1" x14ac:dyDescent="0.25">
      <c r="A91" s="15">
        <v>1</v>
      </c>
      <c r="B91" s="15">
        <v>1</v>
      </c>
      <c r="C91" s="15">
        <v>5</v>
      </c>
      <c r="D91" s="91" t="s">
        <v>130</v>
      </c>
      <c r="E91" s="24">
        <v>640</v>
      </c>
      <c r="F91" s="24" t="s">
        <v>134</v>
      </c>
      <c r="G91" s="25">
        <v>132.69</v>
      </c>
      <c r="H91" s="25">
        <v>153.72</v>
      </c>
      <c r="I91" s="25">
        <v>155</v>
      </c>
      <c r="J91" s="25">
        <v>149</v>
      </c>
      <c r="K91" s="25">
        <v>179</v>
      </c>
      <c r="L91" s="25"/>
      <c r="M91" s="25"/>
      <c r="N91" s="25"/>
      <c r="O91" s="25"/>
      <c r="P91" s="25">
        <f>K91+SUM(L91:O91)</f>
        <v>179</v>
      </c>
      <c r="Q91" s="25">
        <v>0</v>
      </c>
      <c r="R91" s="26">
        <f t="shared" si="53"/>
        <v>0</v>
      </c>
      <c r="S91" s="25"/>
      <c r="T91" s="26">
        <f t="shared" si="54"/>
        <v>0</v>
      </c>
      <c r="U91" s="25"/>
      <c r="V91" s="26">
        <f t="shared" si="55"/>
        <v>0</v>
      </c>
      <c r="W91" s="25"/>
      <c r="X91" s="26">
        <f t="shared" si="56"/>
        <v>0</v>
      </c>
      <c r="Y91" s="25">
        <f>K91</f>
        <v>179</v>
      </c>
      <c r="Z91" s="25">
        <f>Y91</f>
        <v>179</v>
      </c>
    </row>
    <row r="92" spans="1:26" ht="13.9" customHeight="1" x14ac:dyDescent="0.25">
      <c r="A92" s="15">
        <v>1</v>
      </c>
      <c r="B92" s="15">
        <v>1</v>
      </c>
      <c r="C92" s="15">
        <v>5</v>
      </c>
      <c r="D92" s="79" t="s">
        <v>21</v>
      </c>
      <c r="E92" s="48">
        <v>72</v>
      </c>
      <c r="F92" s="48" t="s">
        <v>25</v>
      </c>
      <c r="G92" s="49">
        <f t="shared" ref="G92:Q92" si="59">SUM(G91)</f>
        <v>132.69</v>
      </c>
      <c r="H92" s="49">
        <f t="shared" si="59"/>
        <v>153.72</v>
      </c>
      <c r="I92" s="49">
        <f t="shared" si="59"/>
        <v>155</v>
      </c>
      <c r="J92" s="49">
        <f t="shared" si="59"/>
        <v>149</v>
      </c>
      <c r="K92" s="49">
        <f t="shared" si="59"/>
        <v>179</v>
      </c>
      <c r="L92" s="49">
        <f t="shared" si="59"/>
        <v>0</v>
      </c>
      <c r="M92" s="49">
        <f t="shared" si="59"/>
        <v>0</v>
      </c>
      <c r="N92" s="49">
        <f t="shared" si="59"/>
        <v>0</v>
      </c>
      <c r="O92" s="49">
        <f t="shared" si="59"/>
        <v>0</v>
      </c>
      <c r="P92" s="49">
        <f t="shared" si="59"/>
        <v>179</v>
      </c>
      <c r="Q92" s="49">
        <f t="shared" si="59"/>
        <v>0</v>
      </c>
      <c r="R92" s="50">
        <f t="shared" si="53"/>
        <v>0</v>
      </c>
      <c r="S92" s="49">
        <f>SUM(S91)</f>
        <v>0</v>
      </c>
      <c r="T92" s="50">
        <f t="shared" si="54"/>
        <v>0</v>
      </c>
      <c r="U92" s="49">
        <f>SUM(U91)</f>
        <v>0</v>
      </c>
      <c r="V92" s="50">
        <f t="shared" si="55"/>
        <v>0</v>
      </c>
      <c r="W92" s="49">
        <f>SUM(W91)</f>
        <v>0</v>
      </c>
      <c r="X92" s="50">
        <f t="shared" si="56"/>
        <v>0</v>
      </c>
      <c r="Y92" s="49">
        <f>SUM(Y91)</f>
        <v>179</v>
      </c>
      <c r="Z92" s="49">
        <f>SUM(Z91)</f>
        <v>179</v>
      </c>
    </row>
    <row r="93" spans="1:26" ht="13.9" customHeight="1" x14ac:dyDescent="0.25">
      <c r="A93" s="15">
        <v>1</v>
      </c>
      <c r="B93" s="15">
        <v>1</v>
      </c>
      <c r="C93" s="15">
        <v>5</v>
      </c>
      <c r="D93" s="86"/>
      <c r="E93" s="87"/>
      <c r="F93" s="27" t="s">
        <v>126</v>
      </c>
      <c r="G93" s="28">
        <f t="shared" ref="G93:Q93" si="60">G86+G90+G92</f>
        <v>38238.630000000005</v>
      </c>
      <c r="H93" s="28">
        <f t="shared" si="60"/>
        <v>43604.340000000004</v>
      </c>
      <c r="I93" s="28">
        <f t="shared" si="60"/>
        <v>46899</v>
      </c>
      <c r="J93" s="28">
        <f t="shared" si="60"/>
        <v>41803</v>
      </c>
      <c r="K93" s="28">
        <f t="shared" si="60"/>
        <v>34585</v>
      </c>
      <c r="L93" s="28">
        <f t="shared" si="60"/>
        <v>0</v>
      </c>
      <c r="M93" s="28">
        <f t="shared" si="60"/>
        <v>0</v>
      </c>
      <c r="N93" s="28">
        <f t="shared" si="60"/>
        <v>0</v>
      </c>
      <c r="O93" s="28">
        <f t="shared" si="60"/>
        <v>0</v>
      </c>
      <c r="P93" s="28">
        <f t="shared" si="60"/>
        <v>34585</v>
      </c>
      <c r="Q93" s="28">
        <f t="shared" si="60"/>
        <v>9388.57</v>
      </c>
      <c r="R93" s="29">
        <f t="shared" si="53"/>
        <v>0.27146364030649123</v>
      </c>
      <c r="S93" s="28">
        <f>S86+S90+S92</f>
        <v>0</v>
      </c>
      <c r="T93" s="29">
        <f t="shared" si="54"/>
        <v>0</v>
      </c>
      <c r="U93" s="28">
        <f>U86+U90+U92</f>
        <v>0</v>
      </c>
      <c r="V93" s="29">
        <f t="shared" si="55"/>
        <v>0</v>
      </c>
      <c r="W93" s="28">
        <f>W86+W90+W92</f>
        <v>0</v>
      </c>
      <c r="X93" s="29">
        <f t="shared" si="56"/>
        <v>0</v>
      </c>
      <c r="Y93" s="28">
        <f>Y86+Y90+Y92</f>
        <v>34154</v>
      </c>
      <c r="Z93" s="28">
        <f>Z86+Z90+Z92</f>
        <v>34813</v>
      </c>
    </row>
    <row r="94" spans="1:26" ht="13.9" customHeight="1" x14ac:dyDescent="0.25">
      <c r="D94" s="88"/>
      <c r="E94" s="44"/>
      <c r="F94" s="44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90"/>
      <c r="S94" s="89"/>
      <c r="T94" s="90"/>
      <c r="U94" s="89"/>
      <c r="V94" s="90"/>
      <c r="W94" s="89"/>
      <c r="X94" s="90"/>
      <c r="Y94" s="89"/>
      <c r="Z94" s="89"/>
    </row>
    <row r="95" spans="1:26" ht="13.9" customHeight="1" x14ac:dyDescent="0.25">
      <c r="D95" s="88"/>
      <c r="E95" s="52" t="s">
        <v>55</v>
      </c>
      <c r="F95" s="30" t="s">
        <v>149</v>
      </c>
      <c r="G95" s="53">
        <v>1361.02</v>
      </c>
      <c r="H95" s="53">
        <f>723</f>
        <v>723</v>
      </c>
      <c r="I95" s="53">
        <v>3137</v>
      </c>
      <c r="J95" s="53">
        <v>1205</v>
      </c>
      <c r="K95" s="53">
        <v>1205</v>
      </c>
      <c r="L95" s="53"/>
      <c r="M95" s="53"/>
      <c r="N95" s="53"/>
      <c r="O95" s="53"/>
      <c r="P95" s="53">
        <f>K95+SUM(L95:O95)</f>
        <v>1205</v>
      </c>
      <c r="Q95" s="53">
        <v>427.59</v>
      </c>
      <c r="R95" s="54">
        <f>IFERROR(Q95/$P95,0)</f>
        <v>0.35484647302904559</v>
      </c>
      <c r="S95" s="53"/>
      <c r="T95" s="54">
        <f>IFERROR(S95/$P95,0)</f>
        <v>0</v>
      </c>
      <c r="U95" s="53"/>
      <c r="V95" s="54">
        <f>IFERROR(U95/$P95,0)</f>
        <v>0</v>
      </c>
      <c r="W95" s="53"/>
      <c r="X95" s="55">
        <f>IFERROR(W95/$P95,0)</f>
        <v>0</v>
      </c>
      <c r="Y95" s="53">
        <f>K95</f>
        <v>1205</v>
      </c>
      <c r="Z95" s="56">
        <f>Y95</f>
        <v>1205</v>
      </c>
    </row>
    <row r="96" spans="1:26" ht="13.9" customHeight="1" x14ac:dyDescent="0.25">
      <c r="D96" s="88"/>
      <c r="E96" s="57"/>
      <c r="F96" s="15" t="s">
        <v>150</v>
      </c>
      <c r="G96" s="59">
        <v>4493.5</v>
      </c>
      <c r="H96" s="59">
        <f>6588.57</f>
        <v>6588.57</v>
      </c>
      <c r="I96" s="59">
        <v>12404</v>
      </c>
      <c r="J96" s="59">
        <v>3751</v>
      </c>
      <c r="K96" s="59">
        <v>3750</v>
      </c>
      <c r="L96" s="59"/>
      <c r="M96" s="59"/>
      <c r="N96" s="59"/>
      <c r="O96" s="59"/>
      <c r="P96" s="59">
        <f>K96+SUM(L96:O96)</f>
        <v>3750</v>
      </c>
      <c r="Q96" s="59">
        <v>710</v>
      </c>
      <c r="R96" s="16">
        <f>IFERROR(Q96/$P96,0)</f>
        <v>0.18933333333333333</v>
      </c>
      <c r="S96" s="59"/>
      <c r="T96" s="16">
        <f>IFERROR(S96/$P96,0)</f>
        <v>0</v>
      </c>
      <c r="U96" s="59"/>
      <c r="V96" s="16">
        <f>IFERROR(U96/$P96,0)</f>
        <v>0</v>
      </c>
      <c r="W96" s="59"/>
      <c r="X96" s="60">
        <f>IFERROR(W96/$P96,0)</f>
        <v>0</v>
      </c>
      <c r="Y96" s="59">
        <f>K96</f>
        <v>3750</v>
      </c>
      <c r="Z96" s="61">
        <f>Y96</f>
        <v>3750</v>
      </c>
    </row>
    <row r="97" spans="1:26" ht="13.9" customHeight="1" x14ac:dyDescent="0.25">
      <c r="D97" s="88"/>
      <c r="E97" s="57"/>
      <c r="F97" s="15" t="s">
        <v>151</v>
      </c>
      <c r="G97" s="59">
        <v>1923.15</v>
      </c>
      <c r="H97" s="59">
        <v>1961.49</v>
      </c>
      <c r="I97" s="59">
        <v>2001</v>
      </c>
      <c r="J97" s="59">
        <v>2001</v>
      </c>
      <c r="K97" s="59">
        <v>2001</v>
      </c>
      <c r="L97" s="59"/>
      <c r="M97" s="59"/>
      <c r="N97" s="59"/>
      <c r="O97" s="59"/>
      <c r="P97" s="59">
        <f>K97+SUM(L97:O97)</f>
        <v>2001</v>
      </c>
      <c r="Q97" s="59">
        <v>239.87</v>
      </c>
      <c r="R97" s="16">
        <f>IFERROR(Q97/$P97,0)</f>
        <v>0.11987506246876561</v>
      </c>
      <c r="S97" s="59"/>
      <c r="T97" s="16">
        <f>IFERROR(S97/$P97,0)</f>
        <v>0</v>
      </c>
      <c r="U97" s="59"/>
      <c r="V97" s="16">
        <f>IFERROR(U97/$P97,0)</f>
        <v>0</v>
      </c>
      <c r="W97" s="59"/>
      <c r="X97" s="60">
        <f>IFERROR(W97/$P97,0)</f>
        <v>0</v>
      </c>
      <c r="Y97" s="59">
        <f>K97</f>
        <v>2001</v>
      </c>
      <c r="Z97" s="61">
        <f>Y97</f>
        <v>2001</v>
      </c>
    </row>
    <row r="98" spans="1:26" ht="13.9" customHeight="1" x14ac:dyDescent="0.25">
      <c r="D98" s="88"/>
      <c r="E98" s="57"/>
      <c r="F98" s="15" t="s">
        <v>152</v>
      </c>
      <c r="G98" s="59">
        <v>6812.17</v>
      </c>
      <c r="H98" s="59">
        <v>5084.7</v>
      </c>
      <c r="I98" s="59">
        <v>4000</v>
      </c>
      <c r="J98" s="59">
        <v>12390</v>
      </c>
      <c r="K98" s="59">
        <v>5000</v>
      </c>
      <c r="L98" s="59">
        <v>-400</v>
      </c>
      <c r="M98" s="59"/>
      <c r="N98" s="59"/>
      <c r="O98" s="59"/>
      <c r="P98" s="59">
        <f>K98+SUM(L98:O98)</f>
        <v>4600</v>
      </c>
      <c r="Q98" s="59">
        <f>1839.95+625.75</f>
        <v>2465.6999999999998</v>
      </c>
      <c r="R98" s="16">
        <f>IFERROR(Q98/$P98,0)</f>
        <v>0.53602173913043472</v>
      </c>
      <c r="S98" s="59"/>
      <c r="T98" s="16">
        <f>IFERROR(S98/$P98,0)</f>
        <v>0</v>
      </c>
      <c r="U98" s="59"/>
      <c r="V98" s="16">
        <f>IFERROR(U98/$P98,0)</f>
        <v>0</v>
      </c>
      <c r="W98" s="59"/>
      <c r="X98" s="60">
        <f>IFERROR(W98/$P98,0)</f>
        <v>0</v>
      </c>
      <c r="Y98" s="59">
        <f>K98</f>
        <v>5000</v>
      </c>
      <c r="Z98" s="61">
        <f>Y98</f>
        <v>5000</v>
      </c>
    </row>
    <row r="99" spans="1:26" ht="13.9" customHeight="1" x14ac:dyDescent="0.25">
      <c r="D99" s="88"/>
      <c r="E99" s="65"/>
      <c r="F99" s="97" t="s">
        <v>153</v>
      </c>
      <c r="G99" s="67">
        <v>7632.27</v>
      </c>
      <c r="H99" s="67">
        <v>5194.79</v>
      </c>
      <c r="I99" s="67">
        <v>4200</v>
      </c>
      <c r="J99" s="67">
        <v>3875</v>
      </c>
      <c r="K99" s="67">
        <v>3875</v>
      </c>
      <c r="L99" s="67"/>
      <c r="M99" s="67"/>
      <c r="N99" s="67"/>
      <c r="O99" s="67"/>
      <c r="P99" s="67">
        <f>K99+SUM(L99:O99)</f>
        <v>3875</v>
      </c>
      <c r="Q99" s="67">
        <v>1572.74</v>
      </c>
      <c r="R99" s="68">
        <f>IFERROR(Q99/$P99,0)</f>
        <v>0.4058683870967742</v>
      </c>
      <c r="S99" s="67"/>
      <c r="T99" s="68">
        <f>IFERROR(S99/$P99,0)</f>
        <v>0</v>
      </c>
      <c r="U99" s="67"/>
      <c r="V99" s="68">
        <f>IFERROR(U99/$P99,0)</f>
        <v>0</v>
      </c>
      <c r="W99" s="67"/>
      <c r="X99" s="69">
        <f>IFERROR(W99/$P99,0)</f>
        <v>0</v>
      </c>
      <c r="Y99" s="67">
        <f>K99</f>
        <v>3875</v>
      </c>
      <c r="Z99" s="70">
        <f>Y99</f>
        <v>3875</v>
      </c>
    </row>
    <row r="100" spans="1:26" ht="13.9" customHeight="1" x14ac:dyDescent="0.25">
      <c r="D100" s="88"/>
      <c r="E100" s="44"/>
      <c r="F100" s="44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90"/>
      <c r="S100" s="89"/>
      <c r="T100" s="90"/>
      <c r="U100" s="89"/>
      <c r="V100" s="90"/>
      <c r="W100" s="89"/>
      <c r="X100" s="90"/>
      <c r="Y100" s="89"/>
      <c r="Z100" s="89"/>
    </row>
    <row r="101" spans="1:26" ht="13.9" customHeight="1" x14ac:dyDescent="0.25">
      <c r="D101" s="6" t="s">
        <v>154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9" customHeight="1" x14ac:dyDescent="0.25">
      <c r="D102" s="21" t="s">
        <v>32</v>
      </c>
      <c r="E102" s="21" t="s">
        <v>33</v>
      </c>
      <c r="F102" s="21" t="s">
        <v>34</v>
      </c>
      <c r="G102" s="21" t="s">
        <v>1</v>
      </c>
      <c r="H102" s="21" t="s">
        <v>2</v>
      </c>
      <c r="I102" s="21" t="s">
        <v>3</v>
      </c>
      <c r="J102" s="21" t="s">
        <v>4</v>
      </c>
      <c r="K102" s="21" t="s">
        <v>5</v>
      </c>
      <c r="L102" s="21" t="s">
        <v>6</v>
      </c>
      <c r="M102" s="21" t="s">
        <v>7</v>
      </c>
      <c r="N102" s="21" t="s">
        <v>8</v>
      </c>
      <c r="O102" s="21" t="s">
        <v>9</v>
      </c>
      <c r="P102" s="21" t="s">
        <v>123</v>
      </c>
      <c r="Q102" s="21" t="s">
        <v>11</v>
      </c>
      <c r="R102" s="22" t="s">
        <v>12</v>
      </c>
      <c r="S102" s="21" t="s">
        <v>13</v>
      </c>
      <c r="T102" s="22" t="s">
        <v>14</v>
      </c>
      <c r="U102" s="21" t="s">
        <v>15</v>
      </c>
      <c r="V102" s="22" t="s">
        <v>16</v>
      </c>
      <c r="W102" s="21" t="s">
        <v>17</v>
      </c>
      <c r="X102" s="22" t="s">
        <v>18</v>
      </c>
      <c r="Y102" s="21" t="s">
        <v>19</v>
      </c>
      <c r="Z102" s="21" t="s">
        <v>20</v>
      </c>
    </row>
    <row r="103" spans="1:26" ht="13.9" customHeight="1" x14ac:dyDescent="0.25">
      <c r="A103" s="15">
        <v>1</v>
      </c>
      <c r="B103" s="15">
        <v>1</v>
      </c>
      <c r="C103" s="15">
        <v>6</v>
      </c>
      <c r="D103" s="84" t="s">
        <v>155</v>
      </c>
      <c r="E103" s="24">
        <v>630</v>
      </c>
      <c r="F103" s="24" t="s">
        <v>133</v>
      </c>
      <c r="G103" s="25">
        <v>968.47</v>
      </c>
      <c r="H103" s="25">
        <v>328.99</v>
      </c>
      <c r="I103" s="25">
        <v>713</v>
      </c>
      <c r="J103" s="25">
        <v>890</v>
      </c>
      <c r="K103" s="25">
        <v>755</v>
      </c>
      <c r="L103" s="25"/>
      <c r="M103" s="25"/>
      <c r="N103" s="25"/>
      <c r="O103" s="25"/>
      <c r="P103" s="25">
        <f>K103+SUM(L103:O103)</f>
        <v>755</v>
      </c>
      <c r="Q103" s="25">
        <v>198.21</v>
      </c>
      <c r="R103" s="26">
        <f>IFERROR(Q103/$P103,0)</f>
        <v>0.26252980132450332</v>
      </c>
      <c r="S103" s="25"/>
      <c r="T103" s="26">
        <f>IFERROR(S103/$P103,0)</f>
        <v>0</v>
      </c>
      <c r="U103" s="25"/>
      <c r="V103" s="26">
        <f>IFERROR(U103/$P103,0)</f>
        <v>0</v>
      </c>
      <c r="W103" s="25"/>
      <c r="X103" s="26">
        <f>IFERROR(W103/$P103,0)</f>
        <v>0</v>
      </c>
      <c r="Y103" s="25">
        <f>K103</f>
        <v>755</v>
      </c>
      <c r="Z103" s="25">
        <f>Y103</f>
        <v>755</v>
      </c>
    </row>
    <row r="104" spans="1:26" ht="13.9" customHeight="1" x14ac:dyDescent="0.25">
      <c r="A104" s="15">
        <v>1</v>
      </c>
      <c r="B104" s="15">
        <v>1</v>
      </c>
      <c r="C104" s="15">
        <v>6</v>
      </c>
      <c r="D104" s="79" t="s">
        <v>21</v>
      </c>
      <c r="E104" s="48">
        <v>41</v>
      </c>
      <c r="F104" s="48" t="s">
        <v>23</v>
      </c>
      <c r="G104" s="49">
        <f t="shared" ref="G104:Q104" si="61">SUM(G103)</f>
        <v>968.47</v>
      </c>
      <c r="H104" s="49">
        <f t="shared" si="61"/>
        <v>328.99</v>
      </c>
      <c r="I104" s="49">
        <f t="shared" si="61"/>
        <v>713</v>
      </c>
      <c r="J104" s="49">
        <f t="shared" si="61"/>
        <v>890</v>
      </c>
      <c r="K104" s="49">
        <f t="shared" si="61"/>
        <v>755</v>
      </c>
      <c r="L104" s="49">
        <f t="shared" si="61"/>
        <v>0</v>
      </c>
      <c r="M104" s="49">
        <f t="shared" si="61"/>
        <v>0</v>
      </c>
      <c r="N104" s="49">
        <f t="shared" si="61"/>
        <v>0</v>
      </c>
      <c r="O104" s="49">
        <f t="shared" si="61"/>
        <v>0</v>
      </c>
      <c r="P104" s="49">
        <f t="shared" si="61"/>
        <v>755</v>
      </c>
      <c r="Q104" s="49">
        <f t="shared" si="61"/>
        <v>198.21</v>
      </c>
      <c r="R104" s="50">
        <f>IFERROR(Q104/$P104,0)</f>
        <v>0.26252980132450332</v>
      </c>
      <c r="S104" s="49">
        <f>SUM(S103)</f>
        <v>0</v>
      </c>
      <c r="T104" s="50">
        <f>IFERROR(S104/$P104,0)</f>
        <v>0</v>
      </c>
      <c r="U104" s="49">
        <f>SUM(U103)</f>
        <v>0</v>
      </c>
      <c r="V104" s="50">
        <f>IFERROR(U104/$P104,0)</f>
        <v>0</v>
      </c>
      <c r="W104" s="49">
        <f>SUM(W103)</f>
        <v>0</v>
      </c>
      <c r="X104" s="50">
        <f>IFERROR(W104/$P104,0)</f>
        <v>0</v>
      </c>
      <c r="Y104" s="49">
        <f>SUM(Y103)</f>
        <v>755</v>
      </c>
      <c r="Z104" s="49">
        <f>SUM(Z103)</f>
        <v>755</v>
      </c>
    </row>
    <row r="105" spans="1:26" ht="13.9" customHeight="1" x14ac:dyDescent="0.25">
      <c r="A105" s="15">
        <v>1</v>
      </c>
      <c r="B105" s="15">
        <v>1</v>
      </c>
      <c r="C105" s="15">
        <v>6</v>
      </c>
      <c r="D105" s="86"/>
      <c r="E105" s="87"/>
      <c r="F105" s="27" t="s">
        <v>126</v>
      </c>
      <c r="G105" s="28">
        <f t="shared" ref="G105:Q105" si="62">G104</f>
        <v>968.47</v>
      </c>
      <c r="H105" s="28">
        <f t="shared" si="62"/>
        <v>328.99</v>
      </c>
      <c r="I105" s="28">
        <f t="shared" si="62"/>
        <v>713</v>
      </c>
      <c r="J105" s="28">
        <f t="shared" si="62"/>
        <v>890</v>
      </c>
      <c r="K105" s="28">
        <f t="shared" si="62"/>
        <v>755</v>
      </c>
      <c r="L105" s="28">
        <f t="shared" si="62"/>
        <v>0</v>
      </c>
      <c r="M105" s="28">
        <f t="shared" si="62"/>
        <v>0</v>
      </c>
      <c r="N105" s="28">
        <f t="shared" si="62"/>
        <v>0</v>
      </c>
      <c r="O105" s="28">
        <f t="shared" si="62"/>
        <v>0</v>
      </c>
      <c r="P105" s="28">
        <f t="shared" si="62"/>
        <v>755</v>
      </c>
      <c r="Q105" s="28">
        <f t="shared" si="62"/>
        <v>198.21</v>
      </c>
      <c r="R105" s="29">
        <f>IFERROR(Q105/$P105,0)</f>
        <v>0.26252980132450332</v>
      </c>
      <c r="S105" s="28">
        <f>S104</f>
        <v>0</v>
      </c>
      <c r="T105" s="29">
        <f>IFERROR(S105/$P105,0)</f>
        <v>0</v>
      </c>
      <c r="U105" s="28">
        <f>U104</f>
        <v>0</v>
      </c>
      <c r="V105" s="29">
        <f>IFERROR(U105/$P105,0)</f>
        <v>0</v>
      </c>
      <c r="W105" s="28">
        <f>W104</f>
        <v>0</v>
      </c>
      <c r="X105" s="29">
        <f>IFERROR(W105/$P105,0)</f>
        <v>0</v>
      </c>
      <c r="Y105" s="28">
        <f>Y104</f>
        <v>755</v>
      </c>
      <c r="Z105" s="28">
        <f>Z104</f>
        <v>755</v>
      </c>
    </row>
    <row r="106" spans="1:26" ht="13.9" customHeight="1" x14ac:dyDescent="0.25">
      <c r="D106" s="88"/>
      <c r="E106" s="44"/>
      <c r="F106" s="44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/>
      <c r="S106" s="89"/>
      <c r="T106" s="90"/>
      <c r="U106" s="89"/>
      <c r="V106" s="90"/>
      <c r="W106" s="89"/>
      <c r="X106" s="90"/>
      <c r="Y106" s="89"/>
      <c r="Z106" s="89"/>
    </row>
    <row r="107" spans="1:26" ht="13.9" customHeight="1" x14ac:dyDescent="0.25">
      <c r="D107" s="6" t="s">
        <v>156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9" customHeight="1" x14ac:dyDescent="0.25">
      <c r="D108" s="21" t="s">
        <v>32</v>
      </c>
      <c r="E108" s="21" t="s">
        <v>33</v>
      </c>
      <c r="F108" s="21" t="s">
        <v>34</v>
      </c>
      <c r="G108" s="21" t="s">
        <v>1</v>
      </c>
      <c r="H108" s="21" t="s">
        <v>2</v>
      </c>
      <c r="I108" s="21" t="s">
        <v>3</v>
      </c>
      <c r="J108" s="21" t="s">
        <v>4</v>
      </c>
      <c r="K108" s="21" t="s">
        <v>5</v>
      </c>
      <c r="L108" s="21" t="s">
        <v>6</v>
      </c>
      <c r="M108" s="21" t="s">
        <v>7</v>
      </c>
      <c r="N108" s="21" t="s">
        <v>8</v>
      </c>
      <c r="O108" s="21" t="s">
        <v>9</v>
      </c>
      <c r="P108" s="21" t="s">
        <v>123</v>
      </c>
      <c r="Q108" s="21" t="s">
        <v>11</v>
      </c>
      <c r="R108" s="22" t="s">
        <v>12</v>
      </c>
      <c r="S108" s="21" t="s">
        <v>13</v>
      </c>
      <c r="T108" s="22" t="s">
        <v>14</v>
      </c>
      <c r="U108" s="21" t="s">
        <v>15</v>
      </c>
      <c r="V108" s="22" t="s">
        <v>16</v>
      </c>
      <c r="W108" s="21" t="s">
        <v>17</v>
      </c>
      <c r="X108" s="22" t="s">
        <v>18</v>
      </c>
      <c r="Y108" s="21" t="s">
        <v>19</v>
      </c>
      <c r="Z108" s="21" t="s">
        <v>20</v>
      </c>
    </row>
    <row r="109" spans="1:26" ht="13.9" customHeight="1" x14ac:dyDescent="0.25">
      <c r="A109" s="15">
        <v>1</v>
      </c>
      <c r="B109" s="15">
        <v>1</v>
      </c>
      <c r="C109" s="15">
        <v>7</v>
      </c>
      <c r="D109" s="5" t="s">
        <v>157</v>
      </c>
      <c r="E109" s="24">
        <v>610</v>
      </c>
      <c r="F109" s="24" t="s">
        <v>131</v>
      </c>
      <c r="G109" s="25">
        <v>4560.1499999999996</v>
      </c>
      <c r="H109" s="46">
        <v>4709.78</v>
      </c>
      <c r="I109" s="25">
        <v>4728</v>
      </c>
      <c r="J109" s="25">
        <v>5186</v>
      </c>
      <c r="K109" s="25">
        <v>5154</v>
      </c>
      <c r="L109" s="25">
        <v>19</v>
      </c>
      <c r="M109" s="25"/>
      <c r="N109" s="25"/>
      <c r="O109" s="25"/>
      <c r="P109" s="46">
        <f>K109+SUM(L109:O109)</f>
        <v>5173</v>
      </c>
      <c r="Q109" s="46">
        <v>1129.76</v>
      </c>
      <c r="R109" s="47">
        <f t="shared" ref="R109:R120" si="63">IFERROR(Q109/$P109,0)</f>
        <v>0.21839551517494685</v>
      </c>
      <c r="S109" s="46"/>
      <c r="T109" s="47">
        <f t="shared" ref="T109:T120" si="64">IFERROR(S109/$P109,0)</f>
        <v>0</v>
      </c>
      <c r="U109" s="46"/>
      <c r="V109" s="47">
        <f t="shared" ref="V109:V120" si="65">IFERROR(U109/$P109,0)</f>
        <v>0</v>
      </c>
      <c r="W109" s="46"/>
      <c r="X109" s="47">
        <f t="shared" ref="X109:X120" si="66">IFERROR(W109/$P109,0)</f>
        <v>0</v>
      </c>
      <c r="Y109" s="25">
        <f>K109</f>
        <v>5154</v>
      </c>
      <c r="Z109" s="25">
        <f>Y109</f>
        <v>5154</v>
      </c>
    </row>
    <row r="110" spans="1:26" ht="13.9" customHeight="1" x14ac:dyDescent="0.25">
      <c r="A110" s="15">
        <v>1</v>
      </c>
      <c r="B110" s="15">
        <v>1</v>
      </c>
      <c r="C110" s="15">
        <v>7</v>
      </c>
      <c r="D110" s="5"/>
      <c r="E110" s="24">
        <v>620</v>
      </c>
      <c r="F110" s="24" t="s">
        <v>132</v>
      </c>
      <c r="G110" s="25">
        <v>1516.21</v>
      </c>
      <c r="H110" s="46">
        <v>1648.28</v>
      </c>
      <c r="I110" s="25">
        <v>1652</v>
      </c>
      <c r="J110" s="25">
        <v>1822</v>
      </c>
      <c r="K110" s="25">
        <v>1854</v>
      </c>
      <c r="L110" s="25"/>
      <c r="M110" s="25"/>
      <c r="N110" s="25"/>
      <c r="O110" s="25"/>
      <c r="P110" s="46">
        <f>K110+SUM(L110:O110)</f>
        <v>1854</v>
      </c>
      <c r="Q110" s="46">
        <v>462.28</v>
      </c>
      <c r="R110" s="47">
        <f t="shared" si="63"/>
        <v>0.24934196332254582</v>
      </c>
      <c r="S110" s="46"/>
      <c r="T110" s="47">
        <f t="shared" si="64"/>
        <v>0</v>
      </c>
      <c r="U110" s="46"/>
      <c r="V110" s="47">
        <f t="shared" si="65"/>
        <v>0</v>
      </c>
      <c r="W110" s="46"/>
      <c r="X110" s="47">
        <f t="shared" si="66"/>
        <v>0</v>
      </c>
      <c r="Y110" s="25">
        <f>K110</f>
        <v>1854</v>
      </c>
      <c r="Z110" s="25">
        <f>Y110</f>
        <v>1854</v>
      </c>
    </row>
    <row r="111" spans="1:26" ht="13.9" customHeight="1" x14ac:dyDescent="0.25">
      <c r="A111" s="15">
        <v>1</v>
      </c>
      <c r="B111" s="15">
        <v>1</v>
      </c>
      <c r="C111" s="15">
        <v>7</v>
      </c>
      <c r="D111" s="5"/>
      <c r="E111" s="24">
        <v>630</v>
      </c>
      <c r="F111" s="24" t="s">
        <v>133</v>
      </c>
      <c r="G111" s="46">
        <v>799.58</v>
      </c>
      <c r="H111" s="46">
        <v>819.92</v>
      </c>
      <c r="I111" s="46">
        <f>príjmy!F108+príjmy!F109-I109-I110</f>
        <v>797</v>
      </c>
      <c r="J111" s="46">
        <v>797</v>
      </c>
      <c r="K111" s="46">
        <f>príjmy!H108+príjmy!H109-K109-K110</f>
        <v>797</v>
      </c>
      <c r="L111" s="46">
        <v>25</v>
      </c>
      <c r="M111" s="46"/>
      <c r="N111" s="46"/>
      <c r="O111" s="46"/>
      <c r="P111" s="46">
        <f>K111+SUM(L111:O111)</f>
        <v>822</v>
      </c>
      <c r="Q111" s="46">
        <v>92.98</v>
      </c>
      <c r="R111" s="47">
        <f t="shared" si="63"/>
        <v>0.11311435523114356</v>
      </c>
      <c r="S111" s="46"/>
      <c r="T111" s="47">
        <f t="shared" si="64"/>
        <v>0</v>
      </c>
      <c r="U111" s="46"/>
      <c r="V111" s="47">
        <f t="shared" si="65"/>
        <v>0</v>
      </c>
      <c r="W111" s="46"/>
      <c r="X111" s="47">
        <f t="shared" si="66"/>
        <v>0</v>
      </c>
      <c r="Y111" s="25">
        <f>K111</f>
        <v>797</v>
      </c>
      <c r="Z111" s="25">
        <f>Y111</f>
        <v>797</v>
      </c>
    </row>
    <row r="112" spans="1:26" ht="13.9" customHeight="1" x14ac:dyDescent="0.25">
      <c r="A112" s="15">
        <v>1</v>
      </c>
      <c r="B112" s="15">
        <v>1</v>
      </c>
      <c r="C112" s="15">
        <v>7</v>
      </c>
      <c r="D112" s="79" t="s">
        <v>21</v>
      </c>
      <c r="E112" s="48">
        <v>111</v>
      </c>
      <c r="F112" s="48" t="s">
        <v>136</v>
      </c>
      <c r="G112" s="98">
        <f t="shared" ref="G112:Q112" si="67">SUM(G109:G111)</f>
        <v>6875.94</v>
      </c>
      <c r="H112" s="98">
        <f t="shared" si="67"/>
        <v>7177.98</v>
      </c>
      <c r="I112" s="98">
        <f t="shared" si="67"/>
        <v>7177</v>
      </c>
      <c r="J112" s="98">
        <f t="shared" si="67"/>
        <v>7805</v>
      </c>
      <c r="K112" s="98">
        <f t="shared" si="67"/>
        <v>7805</v>
      </c>
      <c r="L112" s="98">
        <f t="shared" si="67"/>
        <v>44</v>
      </c>
      <c r="M112" s="98">
        <f t="shared" si="67"/>
        <v>0</v>
      </c>
      <c r="N112" s="98">
        <f t="shared" si="67"/>
        <v>0</v>
      </c>
      <c r="O112" s="98">
        <f t="shared" si="67"/>
        <v>0</v>
      </c>
      <c r="P112" s="98">
        <f t="shared" si="67"/>
        <v>7849</v>
      </c>
      <c r="Q112" s="98">
        <f t="shared" si="67"/>
        <v>1685.02</v>
      </c>
      <c r="R112" s="99">
        <f t="shared" si="63"/>
        <v>0.2146795770161804</v>
      </c>
      <c r="S112" s="98">
        <f>SUM(S109:S111)</f>
        <v>0</v>
      </c>
      <c r="T112" s="99">
        <f t="shared" si="64"/>
        <v>0</v>
      </c>
      <c r="U112" s="98">
        <f>SUM(U109:U111)</f>
        <v>0</v>
      </c>
      <c r="V112" s="99">
        <f t="shared" si="65"/>
        <v>0</v>
      </c>
      <c r="W112" s="98">
        <f>SUM(W109:W111)</f>
        <v>0</v>
      </c>
      <c r="X112" s="99">
        <f t="shared" si="66"/>
        <v>0</v>
      </c>
      <c r="Y112" s="49">
        <f>SUM(Y109:Y111)</f>
        <v>7805</v>
      </c>
      <c r="Z112" s="49">
        <f>SUM(Z109:Z111)</f>
        <v>7805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5" t="s">
        <v>157</v>
      </c>
      <c r="E113" s="24">
        <v>610</v>
      </c>
      <c r="F113" s="24" t="s">
        <v>131</v>
      </c>
      <c r="G113" s="25">
        <v>1733.62</v>
      </c>
      <c r="H113" s="46">
        <v>1665.88</v>
      </c>
      <c r="I113" s="25">
        <v>2382</v>
      </c>
      <c r="J113" s="25">
        <v>2868</v>
      </c>
      <c r="K113" s="25">
        <v>2432</v>
      </c>
      <c r="L113" s="25"/>
      <c r="M113" s="25"/>
      <c r="N113" s="25"/>
      <c r="O113" s="25"/>
      <c r="P113" s="46">
        <f>K113+SUM(L113:O113)</f>
        <v>2432</v>
      </c>
      <c r="Q113" s="46">
        <v>0.01</v>
      </c>
      <c r="R113" s="47">
        <f t="shared" si="63"/>
        <v>4.1118421052631578E-6</v>
      </c>
      <c r="S113" s="46"/>
      <c r="T113" s="47">
        <f t="shared" si="64"/>
        <v>0</v>
      </c>
      <c r="U113" s="46"/>
      <c r="V113" s="47">
        <f t="shared" si="65"/>
        <v>0</v>
      </c>
      <c r="W113" s="46"/>
      <c r="X113" s="47">
        <f t="shared" si="66"/>
        <v>0</v>
      </c>
      <c r="Y113" s="25">
        <v>2116</v>
      </c>
      <c r="Z113" s="25">
        <v>2204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5"/>
      <c r="E114" s="24">
        <v>620</v>
      </c>
      <c r="F114" s="24" t="s">
        <v>132</v>
      </c>
      <c r="G114" s="25">
        <v>730.48</v>
      </c>
      <c r="H114" s="46">
        <v>723.38</v>
      </c>
      <c r="I114" s="25">
        <v>1121</v>
      </c>
      <c r="J114" s="25">
        <v>782</v>
      </c>
      <c r="K114" s="25">
        <v>1176</v>
      </c>
      <c r="L114" s="25"/>
      <c r="M114" s="25"/>
      <c r="N114" s="25"/>
      <c r="O114" s="25"/>
      <c r="P114" s="46">
        <f>K114+SUM(L114:O114)</f>
        <v>1176</v>
      </c>
      <c r="Q114" s="46">
        <v>39.17</v>
      </c>
      <c r="R114" s="47">
        <f t="shared" si="63"/>
        <v>3.33078231292517E-2</v>
      </c>
      <c r="S114" s="46"/>
      <c r="T114" s="47">
        <f t="shared" si="64"/>
        <v>0</v>
      </c>
      <c r="U114" s="46"/>
      <c r="V114" s="47">
        <f t="shared" si="65"/>
        <v>0</v>
      </c>
      <c r="W114" s="46"/>
      <c r="X114" s="47">
        <f t="shared" si="66"/>
        <v>0</v>
      </c>
      <c r="Y114" s="25">
        <v>1057</v>
      </c>
      <c r="Z114" s="25">
        <v>1091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5"/>
      <c r="E115" s="24">
        <v>630</v>
      </c>
      <c r="F115" s="24" t="s">
        <v>133</v>
      </c>
      <c r="G115" s="25">
        <v>1184.9000000000001</v>
      </c>
      <c r="H115" s="46">
        <v>1462.27</v>
      </c>
      <c r="I115" s="25">
        <f>1854+190</f>
        <v>2044</v>
      </c>
      <c r="J115" s="25">
        <v>1358</v>
      </c>
      <c r="K115" s="25">
        <f>1152+140</f>
        <v>1292</v>
      </c>
      <c r="L115" s="25"/>
      <c r="M115" s="25"/>
      <c r="N115" s="25"/>
      <c r="O115" s="25"/>
      <c r="P115" s="46">
        <f>K115+SUM(L115:O115)</f>
        <v>1292</v>
      </c>
      <c r="Q115" s="46">
        <v>198.37</v>
      </c>
      <c r="R115" s="47">
        <f t="shared" si="63"/>
        <v>0.15353715170278637</v>
      </c>
      <c r="S115" s="46"/>
      <c r="T115" s="47">
        <f t="shared" si="64"/>
        <v>0</v>
      </c>
      <c r="U115" s="46"/>
      <c r="V115" s="47">
        <f t="shared" si="65"/>
        <v>0</v>
      </c>
      <c r="W115" s="46"/>
      <c r="X115" s="47">
        <f t="shared" si="66"/>
        <v>0</v>
      </c>
      <c r="Y115" s="25">
        <f>1149+140</f>
        <v>1289</v>
      </c>
      <c r="Z115" s="25">
        <f>1150+140</f>
        <v>1290</v>
      </c>
    </row>
    <row r="116" spans="1:26" ht="13.9" hidden="1" customHeight="1" x14ac:dyDescent="0.25">
      <c r="A116" s="15">
        <v>1</v>
      </c>
      <c r="B116" s="15">
        <v>1</v>
      </c>
      <c r="C116" s="15">
        <v>7</v>
      </c>
      <c r="D116" s="5"/>
      <c r="E116" s="24">
        <v>640</v>
      </c>
      <c r="F116" s="24" t="s">
        <v>134</v>
      </c>
      <c r="G116" s="25">
        <v>81.48</v>
      </c>
      <c r="H116" s="25">
        <v>0</v>
      </c>
      <c r="I116" s="25">
        <v>0</v>
      </c>
      <c r="J116" s="25">
        <v>0</v>
      </c>
      <c r="K116" s="25">
        <v>0</v>
      </c>
      <c r="L116" s="25"/>
      <c r="M116" s="25"/>
      <c r="N116" s="25"/>
      <c r="O116" s="25"/>
      <c r="P116" s="25">
        <f>K116+SUM(L116:O116)</f>
        <v>0</v>
      </c>
      <c r="Q116" s="25"/>
      <c r="R116" s="26">
        <f t="shared" si="63"/>
        <v>0</v>
      </c>
      <c r="S116" s="25"/>
      <c r="T116" s="26">
        <f t="shared" si="64"/>
        <v>0</v>
      </c>
      <c r="U116" s="25"/>
      <c r="V116" s="26">
        <f t="shared" si="65"/>
        <v>0</v>
      </c>
      <c r="W116" s="25"/>
      <c r="X116" s="26">
        <f t="shared" si="66"/>
        <v>0</v>
      </c>
      <c r="Y116" s="25">
        <f>K116</f>
        <v>0</v>
      </c>
      <c r="Z116" s="25">
        <f>Y116</f>
        <v>0</v>
      </c>
    </row>
    <row r="117" spans="1:26" ht="13.9" customHeight="1" x14ac:dyDescent="0.25">
      <c r="A117" s="15">
        <v>1</v>
      </c>
      <c r="B117" s="15">
        <v>1</v>
      </c>
      <c r="C117" s="15">
        <v>7</v>
      </c>
      <c r="D117" s="79" t="s">
        <v>21</v>
      </c>
      <c r="E117" s="48">
        <v>41</v>
      </c>
      <c r="F117" s="48" t="s">
        <v>23</v>
      </c>
      <c r="G117" s="49">
        <f t="shared" ref="G117:Q117" si="68">SUM(G113:G116)</f>
        <v>3730.48</v>
      </c>
      <c r="H117" s="49">
        <f t="shared" si="68"/>
        <v>3851.53</v>
      </c>
      <c r="I117" s="49">
        <f t="shared" si="68"/>
        <v>5547</v>
      </c>
      <c r="J117" s="49">
        <f t="shared" si="68"/>
        <v>5008</v>
      </c>
      <c r="K117" s="49">
        <f t="shared" si="68"/>
        <v>4900</v>
      </c>
      <c r="L117" s="49">
        <f t="shared" si="68"/>
        <v>0</v>
      </c>
      <c r="M117" s="49">
        <f t="shared" si="68"/>
        <v>0</v>
      </c>
      <c r="N117" s="49">
        <f t="shared" si="68"/>
        <v>0</v>
      </c>
      <c r="O117" s="49">
        <f t="shared" si="68"/>
        <v>0</v>
      </c>
      <c r="P117" s="49">
        <f t="shared" si="68"/>
        <v>4900</v>
      </c>
      <c r="Q117" s="49">
        <f t="shared" si="68"/>
        <v>237.55</v>
      </c>
      <c r="R117" s="50">
        <f t="shared" si="63"/>
        <v>4.8479591836734698E-2</v>
      </c>
      <c r="S117" s="49">
        <f>SUM(S113:S116)</f>
        <v>0</v>
      </c>
      <c r="T117" s="50">
        <f t="shared" si="64"/>
        <v>0</v>
      </c>
      <c r="U117" s="49">
        <f>SUM(U113:U116)</f>
        <v>0</v>
      </c>
      <c r="V117" s="50">
        <f t="shared" si="65"/>
        <v>0</v>
      </c>
      <c r="W117" s="49">
        <f>SUM(W113:W116)</f>
        <v>0</v>
      </c>
      <c r="X117" s="50">
        <f t="shared" si="66"/>
        <v>0</v>
      </c>
      <c r="Y117" s="49">
        <f>SUM(Y113:Y116)</f>
        <v>4462</v>
      </c>
      <c r="Z117" s="49">
        <f>SUM(Z113:Z116)</f>
        <v>4585</v>
      </c>
    </row>
    <row r="118" spans="1:26" ht="13.9" customHeight="1" x14ac:dyDescent="0.25">
      <c r="A118" s="15">
        <v>1</v>
      </c>
      <c r="B118" s="15">
        <v>1</v>
      </c>
      <c r="C118" s="15">
        <v>7</v>
      </c>
      <c r="D118" s="91" t="s">
        <v>157</v>
      </c>
      <c r="E118" s="24">
        <v>640</v>
      </c>
      <c r="F118" s="24" t="s">
        <v>134</v>
      </c>
      <c r="G118" s="25">
        <v>67.86</v>
      </c>
      <c r="H118" s="25">
        <v>110.54</v>
      </c>
      <c r="I118" s="25">
        <v>155</v>
      </c>
      <c r="J118" s="25">
        <v>99</v>
      </c>
      <c r="K118" s="25">
        <v>76</v>
      </c>
      <c r="L118" s="25"/>
      <c r="M118" s="25"/>
      <c r="N118" s="25"/>
      <c r="O118" s="25"/>
      <c r="P118" s="25">
        <f>K118+SUM(L118:O118)</f>
        <v>76</v>
      </c>
      <c r="Q118" s="25">
        <v>0</v>
      </c>
      <c r="R118" s="26">
        <f t="shared" si="63"/>
        <v>0</v>
      </c>
      <c r="S118" s="25"/>
      <c r="T118" s="26">
        <f t="shared" si="64"/>
        <v>0</v>
      </c>
      <c r="U118" s="25"/>
      <c r="V118" s="26">
        <f t="shared" si="65"/>
        <v>0</v>
      </c>
      <c r="W118" s="25"/>
      <c r="X118" s="26">
        <f t="shared" si="66"/>
        <v>0</v>
      </c>
      <c r="Y118" s="25">
        <f>K118</f>
        <v>76</v>
      </c>
      <c r="Z118" s="25">
        <f>Y118</f>
        <v>76</v>
      </c>
    </row>
    <row r="119" spans="1:26" ht="13.9" customHeight="1" x14ac:dyDescent="0.25">
      <c r="A119" s="15">
        <v>1</v>
      </c>
      <c r="B119" s="15">
        <v>1</v>
      </c>
      <c r="C119" s="15">
        <v>7</v>
      </c>
      <c r="D119" s="79" t="s">
        <v>21</v>
      </c>
      <c r="E119" s="48">
        <v>72</v>
      </c>
      <c r="F119" s="48" t="s">
        <v>25</v>
      </c>
      <c r="G119" s="49">
        <f t="shared" ref="G119:Q119" si="69">SUM(G118)</f>
        <v>67.86</v>
      </c>
      <c r="H119" s="49">
        <f t="shared" si="69"/>
        <v>110.54</v>
      </c>
      <c r="I119" s="49">
        <f t="shared" si="69"/>
        <v>155</v>
      </c>
      <c r="J119" s="49">
        <f t="shared" si="69"/>
        <v>99</v>
      </c>
      <c r="K119" s="49">
        <f t="shared" si="69"/>
        <v>76</v>
      </c>
      <c r="L119" s="49">
        <f t="shared" si="69"/>
        <v>0</v>
      </c>
      <c r="M119" s="49">
        <f t="shared" si="69"/>
        <v>0</v>
      </c>
      <c r="N119" s="49">
        <f t="shared" si="69"/>
        <v>0</v>
      </c>
      <c r="O119" s="49">
        <f t="shared" si="69"/>
        <v>0</v>
      </c>
      <c r="P119" s="49">
        <f t="shared" si="69"/>
        <v>76</v>
      </c>
      <c r="Q119" s="49">
        <f t="shared" si="69"/>
        <v>0</v>
      </c>
      <c r="R119" s="50">
        <f t="shared" si="63"/>
        <v>0</v>
      </c>
      <c r="S119" s="49">
        <f>SUM(S118)</f>
        <v>0</v>
      </c>
      <c r="T119" s="50">
        <f t="shared" si="64"/>
        <v>0</v>
      </c>
      <c r="U119" s="49">
        <f>SUM(U118)</f>
        <v>0</v>
      </c>
      <c r="V119" s="50">
        <f t="shared" si="65"/>
        <v>0</v>
      </c>
      <c r="W119" s="49">
        <f>SUM(W118)</f>
        <v>0</v>
      </c>
      <c r="X119" s="50">
        <f t="shared" si="66"/>
        <v>0</v>
      </c>
      <c r="Y119" s="49">
        <f>SUM(Y118)</f>
        <v>76</v>
      </c>
      <c r="Z119" s="49">
        <f>SUM(Z118)</f>
        <v>76</v>
      </c>
    </row>
    <row r="120" spans="1:26" ht="13.9" customHeight="1" x14ac:dyDescent="0.25">
      <c r="A120" s="15">
        <v>1</v>
      </c>
      <c r="B120" s="15">
        <v>1</v>
      </c>
      <c r="C120" s="15">
        <v>7</v>
      </c>
      <c r="D120" s="30"/>
      <c r="E120" s="31"/>
      <c r="F120" s="27" t="s">
        <v>126</v>
      </c>
      <c r="G120" s="28">
        <f t="shared" ref="G120:Q120" si="70">G112+G117+G119</f>
        <v>10674.28</v>
      </c>
      <c r="H120" s="28">
        <f t="shared" si="70"/>
        <v>11140.050000000001</v>
      </c>
      <c r="I120" s="28">
        <f t="shared" si="70"/>
        <v>12879</v>
      </c>
      <c r="J120" s="28">
        <f t="shared" si="70"/>
        <v>12912</v>
      </c>
      <c r="K120" s="28">
        <f t="shared" si="70"/>
        <v>12781</v>
      </c>
      <c r="L120" s="28">
        <f t="shared" si="70"/>
        <v>44</v>
      </c>
      <c r="M120" s="28">
        <f t="shared" si="70"/>
        <v>0</v>
      </c>
      <c r="N120" s="28">
        <f t="shared" si="70"/>
        <v>0</v>
      </c>
      <c r="O120" s="28">
        <f t="shared" si="70"/>
        <v>0</v>
      </c>
      <c r="P120" s="28">
        <f t="shared" si="70"/>
        <v>12825</v>
      </c>
      <c r="Q120" s="28">
        <f t="shared" si="70"/>
        <v>1922.57</v>
      </c>
      <c r="R120" s="29">
        <f t="shared" si="63"/>
        <v>0.14990799220272905</v>
      </c>
      <c r="S120" s="28">
        <f>S112+S117+S119</f>
        <v>0</v>
      </c>
      <c r="T120" s="29">
        <f t="shared" si="64"/>
        <v>0</v>
      </c>
      <c r="U120" s="28">
        <f>U112+U117+U119</f>
        <v>0</v>
      </c>
      <c r="V120" s="29">
        <f t="shared" si="65"/>
        <v>0</v>
      </c>
      <c r="W120" s="28">
        <f>W112+W117+W119</f>
        <v>0</v>
      </c>
      <c r="X120" s="29">
        <f t="shared" si="66"/>
        <v>0</v>
      </c>
      <c r="Y120" s="28">
        <f>Y112+Y117+Y119</f>
        <v>12343</v>
      </c>
      <c r="Z120" s="28">
        <f>Z112+Z117+Z119</f>
        <v>12466</v>
      </c>
    </row>
    <row r="122" spans="1:26" ht="13.9" customHeight="1" x14ac:dyDescent="0.25">
      <c r="D122" s="7" t="s">
        <v>158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9" customHeight="1" x14ac:dyDescent="0.25">
      <c r="D123" s="21" t="s">
        <v>32</v>
      </c>
      <c r="E123" s="21" t="s">
        <v>33</v>
      </c>
      <c r="F123" s="21" t="s">
        <v>34</v>
      </c>
      <c r="G123" s="21" t="s">
        <v>1</v>
      </c>
      <c r="H123" s="21" t="s">
        <v>2</v>
      </c>
      <c r="I123" s="21" t="s">
        <v>3</v>
      </c>
      <c r="J123" s="21" t="s">
        <v>4</v>
      </c>
      <c r="K123" s="21" t="s">
        <v>5</v>
      </c>
      <c r="L123" s="21" t="s">
        <v>6</v>
      </c>
      <c r="M123" s="21" t="s">
        <v>7</v>
      </c>
      <c r="N123" s="21" t="s">
        <v>8</v>
      </c>
      <c r="O123" s="21" t="s">
        <v>9</v>
      </c>
      <c r="P123" s="21" t="s">
        <v>123</v>
      </c>
      <c r="Q123" s="21" t="s">
        <v>11</v>
      </c>
      <c r="R123" s="22" t="s">
        <v>12</v>
      </c>
      <c r="S123" s="21" t="s">
        <v>13</v>
      </c>
      <c r="T123" s="22" t="s">
        <v>14</v>
      </c>
      <c r="U123" s="21" t="s">
        <v>15</v>
      </c>
      <c r="V123" s="22" t="s">
        <v>16</v>
      </c>
      <c r="W123" s="21" t="s">
        <v>17</v>
      </c>
      <c r="X123" s="22" t="s">
        <v>18</v>
      </c>
      <c r="Y123" s="21" t="s">
        <v>19</v>
      </c>
      <c r="Z123" s="21" t="s">
        <v>20</v>
      </c>
    </row>
    <row r="124" spans="1:26" ht="13.9" customHeight="1" x14ac:dyDescent="0.25">
      <c r="A124" s="15">
        <v>1</v>
      </c>
      <c r="B124" s="15">
        <v>2</v>
      </c>
      <c r="D124" s="24" t="s">
        <v>130</v>
      </c>
      <c r="E124" s="24">
        <v>640</v>
      </c>
      <c r="F124" s="24" t="s">
        <v>92</v>
      </c>
      <c r="G124" s="25">
        <v>4253.4399999999996</v>
      </c>
      <c r="H124" s="25">
        <v>4966.72</v>
      </c>
      <c r="I124" s="25">
        <v>4829</v>
      </c>
      <c r="J124" s="25">
        <v>139</v>
      </c>
      <c r="K124" s="25">
        <f>príjmy!H106</f>
        <v>139</v>
      </c>
      <c r="L124" s="25"/>
      <c r="M124" s="25"/>
      <c r="N124" s="25"/>
      <c r="O124" s="25"/>
      <c r="P124" s="25">
        <f>K124+SUM(L124:O124)</f>
        <v>139</v>
      </c>
      <c r="Q124" s="25">
        <v>0</v>
      </c>
      <c r="R124" s="26">
        <f t="shared" ref="R124:R129" si="71">IFERROR(Q124/$P124,0)</f>
        <v>0</v>
      </c>
      <c r="S124" s="25"/>
      <c r="T124" s="26">
        <f t="shared" ref="T124:T129" si="72">IFERROR(S124/$P124,0)</f>
        <v>0</v>
      </c>
      <c r="U124" s="25"/>
      <c r="V124" s="26">
        <f t="shared" ref="V124:V129" si="73">IFERROR(U124/$P124,0)</f>
        <v>0</v>
      </c>
      <c r="W124" s="25"/>
      <c r="X124" s="26">
        <f t="shared" ref="X124:X129" si="74">IFERROR(W124/$P124,0)</f>
        <v>0</v>
      </c>
      <c r="Y124" s="25">
        <f>príjmy!V106</f>
        <v>139</v>
      </c>
      <c r="Z124" s="25">
        <f>príjmy!W106</f>
        <v>139</v>
      </c>
    </row>
    <row r="125" spans="1:26" ht="13.9" customHeight="1" x14ac:dyDescent="0.25">
      <c r="A125" s="15">
        <v>1</v>
      </c>
      <c r="B125" s="15">
        <v>2</v>
      </c>
      <c r="D125" s="79" t="s">
        <v>21</v>
      </c>
      <c r="E125" s="48">
        <v>111</v>
      </c>
      <c r="F125" s="48" t="s">
        <v>136</v>
      </c>
      <c r="G125" s="49">
        <f t="shared" ref="G125:Q125" si="75">SUM(G124)</f>
        <v>4253.4399999999996</v>
      </c>
      <c r="H125" s="49">
        <f t="shared" si="75"/>
        <v>4966.72</v>
      </c>
      <c r="I125" s="49">
        <f t="shared" si="75"/>
        <v>4829</v>
      </c>
      <c r="J125" s="49">
        <f t="shared" si="75"/>
        <v>139</v>
      </c>
      <c r="K125" s="49">
        <f t="shared" si="75"/>
        <v>139</v>
      </c>
      <c r="L125" s="49">
        <f t="shared" si="75"/>
        <v>0</v>
      </c>
      <c r="M125" s="49">
        <f t="shared" si="75"/>
        <v>0</v>
      </c>
      <c r="N125" s="49">
        <f t="shared" si="75"/>
        <v>0</v>
      </c>
      <c r="O125" s="49">
        <f t="shared" si="75"/>
        <v>0</v>
      </c>
      <c r="P125" s="49">
        <f t="shared" si="75"/>
        <v>139</v>
      </c>
      <c r="Q125" s="49">
        <f t="shared" si="75"/>
        <v>0</v>
      </c>
      <c r="R125" s="50">
        <f t="shared" si="71"/>
        <v>0</v>
      </c>
      <c r="S125" s="49">
        <f>SUM(S124)</f>
        <v>0</v>
      </c>
      <c r="T125" s="50">
        <f t="shared" si="72"/>
        <v>0</v>
      </c>
      <c r="U125" s="49">
        <f>SUM(U124)</f>
        <v>0</v>
      </c>
      <c r="V125" s="50">
        <f t="shared" si="73"/>
        <v>0</v>
      </c>
      <c r="W125" s="49">
        <f>SUM(W124)</f>
        <v>0</v>
      </c>
      <c r="X125" s="50">
        <f t="shared" si="74"/>
        <v>0</v>
      </c>
      <c r="Y125" s="49">
        <f>SUM(Y124)</f>
        <v>139</v>
      </c>
      <c r="Z125" s="49">
        <f>SUM(Z124)</f>
        <v>139</v>
      </c>
    </row>
    <row r="126" spans="1:26" ht="13.9" customHeight="1" x14ac:dyDescent="0.25">
      <c r="A126" s="15">
        <v>1</v>
      </c>
      <c r="B126" s="15">
        <v>2</v>
      </c>
      <c r="D126" s="43" t="s">
        <v>159</v>
      </c>
      <c r="E126" s="24">
        <v>640</v>
      </c>
      <c r="F126" s="24" t="s">
        <v>160</v>
      </c>
      <c r="G126" s="25">
        <v>230.99</v>
      </c>
      <c r="H126" s="25">
        <v>250.09</v>
      </c>
      <c r="I126" s="25">
        <v>178</v>
      </c>
      <c r="J126" s="25">
        <v>178</v>
      </c>
      <c r="K126" s="25">
        <v>40</v>
      </c>
      <c r="L126" s="25"/>
      <c r="M126" s="25"/>
      <c r="N126" s="25"/>
      <c r="O126" s="25"/>
      <c r="P126" s="25">
        <f>K126+SUM(L126:O126)</f>
        <v>40</v>
      </c>
      <c r="Q126" s="25">
        <v>39.82</v>
      </c>
      <c r="R126" s="26">
        <f t="shared" si="71"/>
        <v>0.99550000000000005</v>
      </c>
      <c r="S126" s="25"/>
      <c r="T126" s="26">
        <f t="shared" si="72"/>
        <v>0</v>
      </c>
      <c r="U126" s="25"/>
      <c r="V126" s="26">
        <f t="shared" si="73"/>
        <v>0</v>
      </c>
      <c r="W126" s="25"/>
      <c r="X126" s="26">
        <f t="shared" si="74"/>
        <v>0</v>
      </c>
      <c r="Y126" s="25">
        <f>K126</f>
        <v>40</v>
      </c>
      <c r="Z126" s="25">
        <f>Y126</f>
        <v>40</v>
      </c>
    </row>
    <row r="127" spans="1:26" ht="13.9" customHeight="1" x14ac:dyDescent="0.25">
      <c r="A127" s="15">
        <v>1</v>
      </c>
      <c r="B127" s="15">
        <v>2</v>
      </c>
      <c r="D127" s="24" t="s">
        <v>130</v>
      </c>
      <c r="E127" s="24">
        <v>640</v>
      </c>
      <c r="F127" s="24" t="s">
        <v>92</v>
      </c>
      <c r="G127" s="25">
        <v>11755.13</v>
      </c>
      <c r="H127" s="25">
        <v>8825.44</v>
      </c>
      <c r="I127" s="25">
        <f>13871-I124</f>
        <v>9042</v>
      </c>
      <c r="J127" s="25">
        <v>10264</v>
      </c>
      <c r="K127" s="46">
        <f>12361-K124</f>
        <v>12222</v>
      </c>
      <c r="L127" s="25"/>
      <c r="M127" s="25"/>
      <c r="N127" s="25"/>
      <c r="O127" s="25"/>
      <c r="P127" s="25">
        <f>K127+SUM(L127:O127)</f>
        <v>12222</v>
      </c>
      <c r="Q127" s="25">
        <v>3090.37</v>
      </c>
      <c r="R127" s="26">
        <f t="shared" si="71"/>
        <v>0.25285305187367041</v>
      </c>
      <c r="S127" s="25"/>
      <c r="T127" s="26">
        <f t="shared" si="72"/>
        <v>0</v>
      </c>
      <c r="U127" s="25"/>
      <c r="V127" s="26">
        <f t="shared" si="73"/>
        <v>0</v>
      </c>
      <c r="W127" s="25"/>
      <c r="X127" s="26">
        <f t="shared" si="74"/>
        <v>0</v>
      </c>
      <c r="Y127" s="25">
        <v>17200</v>
      </c>
      <c r="Z127" s="25">
        <f>Y127</f>
        <v>17200</v>
      </c>
    </row>
    <row r="128" spans="1:26" ht="13.9" customHeight="1" x14ac:dyDescent="0.25">
      <c r="A128" s="15">
        <v>1</v>
      </c>
      <c r="B128" s="15">
        <v>2</v>
      </c>
      <c r="D128" s="79" t="s">
        <v>21</v>
      </c>
      <c r="E128" s="48">
        <v>41</v>
      </c>
      <c r="F128" s="48" t="s">
        <v>23</v>
      </c>
      <c r="G128" s="49">
        <f t="shared" ref="G128:Q128" si="76">SUM(G126:G127)</f>
        <v>11986.119999999999</v>
      </c>
      <c r="H128" s="49">
        <f t="shared" si="76"/>
        <v>9075.5300000000007</v>
      </c>
      <c r="I128" s="49">
        <f t="shared" si="76"/>
        <v>9220</v>
      </c>
      <c r="J128" s="49">
        <f t="shared" si="76"/>
        <v>10442</v>
      </c>
      <c r="K128" s="49">
        <f t="shared" si="76"/>
        <v>12262</v>
      </c>
      <c r="L128" s="49">
        <f t="shared" si="76"/>
        <v>0</v>
      </c>
      <c r="M128" s="49">
        <f t="shared" si="76"/>
        <v>0</v>
      </c>
      <c r="N128" s="49">
        <f t="shared" si="76"/>
        <v>0</v>
      </c>
      <c r="O128" s="49">
        <f t="shared" si="76"/>
        <v>0</v>
      </c>
      <c r="P128" s="49">
        <f t="shared" si="76"/>
        <v>12262</v>
      </c>
      <c r="Q128" s="49">
        <f t="shared" si="76"/>
        <v>3130.19</v>
      </c>
      <c r="R128" s="50">
        <f t="shared" si="71"/>
        <v>0.25527564834447886</v>
      </c>
      <c r="S128" s="49">
        <f>SUM(S126:S127)</f>
        <v>0</v>
      </c>
      <c r="T128" s="50">
        <f t="shared" si="72"/>
        <v>0</v>
      </c>
      <c r="U128" s="49">
        <f>SUM(U126:U127)</f>
        <v>0</v>
      </c>
      <c r="V128" s="50">
        <f t="shared" si="73"/>
        <v>0</v>
      </c>
      <c r="W128" s="49">
        <f>SUM(W126:W127)</f>
        <v>0</v>
      </c>
      <c r="X128" s="50">
        <f t="shared" si="74"/>
        <v>0</v>
      </c>
      <c r="Y128" s="49">
        <f>SUM(Y126:Y127)</f>
        <v>17240</v>
      </c>
      <c r="Z128" s="49">
        <f>SUM(Z126:Z127)</f>
        <v>17240</v>
      </c>
    </row>
    <row r="129" spans="1:26" ht="13.9" customHeight="1" x14ac:dyDescent="0.25">
      <c r="A129" s="15">
        <v>1</v>
      </c>
      <c r="B129" s="15">
        <v>2</v>
      </c>
      <c r="D129" s="30"/>
      <c r="E129" s="31"/>
      <c r="F129" s="27" t="s">
        <v>126</v>
      </c>
      <c r="G129" s="28">
        <f t="shared" ref="G129:Q129" si="77">G125+G128</f>
        <v>16239.559999999998</v>
      </c>
      <c r="H129" s="28">
        <f t="shared" si="77"/>
        <v>14042.25</v>
      </c>
      <c r="I129" s="28">
        <f t="shared" si="77"/>
        <v>14049</v>
      </c>
      <c r="J129" s="28">
        <f t="shared" si="77"/>
        <v>10581</v>
      </c>
      <c r="K129" s="28">
        <f t="shared" si="77"/>
        <v>12401</v>
      </c>
      <c r="L129" s="28">
        <f t="shared" si="77"/>
        <v>0</v>
      </c>
      <c r="M129" s="28">
        <f t="shared" si="77"/>
        <v>0</v>
      </c>
      <c r="N129" s="28">
        <f t="shared" si="77"/>
        <v>0</v>
      </c>
      <c r="O129" s="28">
        <f t="shared" si="77"/>
        <v>0</v>
      </c>
      <c r="P129" s="28">
        <f t="shared" si="77"/>
        <v>12401</v>
      </c>
      <c r="Q129" s="28">
        <f t="shared" si="77"/>
        <v>3130.19</v>
      </c>
      <c r="R129" s="29">
        <f t="shared" si="71"/>
        <v>0.25241432142569148</v>
      </c>
      <c r="S129" s="28">
        <f>S125+S128</f>
        <v>0</v>
      </c>
      <c r="T129" s="29">
        <f t="shared" si="72"/>
        <v>0</v>
      </c>
      <c r="U129" s="28">
        <f>U125+U128</f>
        <v>0</v>
      </c>
      <c r="V129" s="29">
        <f t="shared" si="73"/>
        <v>0</v>
      </c>
      <c r="W129" s="28">
        <f>W125+W128</f>
        <v>0</v>
      </c>
      <c r="X129" s="29">
        <f t="shared" si="74"/>
        <v>0</v>
      </c>
      <c r="Y129" s="28">
        <f>Y125+Y128</f>
        <v>17379</v>
      </c>
      <c r="Z129" s="28">
        <f>Z125+Z128</f>
        <v>17379</v>
      </c>
    </row>
    <row r="131" spans="1:26" ht="13.9" customHeight="1" x14ac:dyDescent="0.25">
      <c r="D131" s="7" t="s">
        <v>161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9" customHeight="1" x14ac:dyDescent="0.25">
      <c r="D132" s="21" t="s">
        <v>32</v>
      </c>
      <c r="E132" s="21" t="s">
        <v>33</v>
      </c>
      <c r="F132" s="21" t="s">
        <v>34</v>
      </c>
      <c r="G132" s="21" t="s">
        <v>1</v>
      </c>
      <c r="H132" s="21" t="s">
        <v>2</v>
      </c>
      <c r="I132" s="21" t="s">
        <v>3</v>
      </c>
      <c r="J132" s="21" t="s">
        <v>4</v>
      </c>
      <c r="K132" s="21" t="s">
        <v>5</v>
      </c>
      <c r="L132" s="21" t="s">
        <v>6</v>
      </c>
      <c r="M132" s="21" t="s">
        <v>7</v>
      </c>
      <c r="N132" s="21" t="s">
        <v>8</v>
      </c>
      <c r="O132" s="21" t="s">
        <v>9</v>
      </c>
      <c r="P132" s="21" t="s">
        <v>123</v>
      </c>
      <c r="Q132" s="21" t="s">
        <v>11</v>
      </c>
      <c r="R132" s="22" t="s">
        <v>12</v>
      </c>
      <c r="S132" s="21" t="s">
        <v>13</v>
      </c>
      <c r="T132" s="22" t="s">
        <v>14</v>
      </c>
      <c r="U132" s="21" t="s">
        <v>15</v>
      </c>
      <c r="V132" s="22" t="s">
        <v>16</v>
      </c>
      <c r="W132" s="21" t="s">
        <v>17</v>
      </c>
      <c r="X132" s="22" t="s">
        <v>18</v>
      </c>
      <c r="Y132" s="21" t="s">
        <v>19</v>
      </c>
      <c r="Z132" s="21" t="s">
        <v>20</v>
      </c>
    </row>
    <row r="133" spans="1:26" ht="13.9" hidden="1" customHeight="1" x14ac:dyDescent="0.25">
      <c r="A133" s="15">
        <v>1</v>
      </c>
      <c r="B133" s="15">
        <v>3</v>
      </c>
      <c r="D133" s="51" t="s">
        <v>130</v>
      </c>
      <c r="E133" s="24">
        <v>630</v>
      </c>
      <c r="F133" s="24" t="s">
        <v>133</v>
      </c>
      <c r="G133" s="46">
        <v>0</v>
      </c>
      <c r="H133" s="46">
        <v>160.47</v>
      </c>
      <c r="I133" s="25">
        <v>0</v>
      </c>
      <c r="J133" s="25">
        <v>0</v>
      </c>
      <c r="K133" s="25">
        <v>0</v>
      </c>
      <c r="L133" s="25"/>
      <c r="M133" s="25"/>
      <c r="N133" s="25"/>
      <c r="O133" s="25"/>
      <c r="P133" s="46">
        <f>K133+SUM(L133:O133)</f>
        <v>0</v>
      </c>
      <c r="Q133" s="46"/>
      <c r="R133" s="47">
        <f t="shared" ref="R133:R138" si="78">IFERROR(Q133/$P133,0)</f>
        <v>0</v>
      </c>
      <c r="S133" s="46"/>
      <c r="T133" s="47">
        <f t="shared" ref="T133:T138" si="79">IFERROR(S133/$P133,0)</f>
        <v>0</v>
      </c>
      <c r="U133" s="46"/>
      <c r="V133" s="47">
        <f t="shared" ref="V133:V138" si="80">IFERROR(U133/$P133,0)</f>
        <v>0</v>
      </c>
      <c r="W133" s="46"/>
      <c r="X133" s="47">
        <f t="shared" ref="X133:X138" si="81">IFERROR(W133/$P133,0)</f>
        <v>0</v>
      </c>
      <c r="Y133" s="25">
        <v>0</v>
      </c>
      <c r="Z133" s="25">
        <v>0</v>
      </c>
    </row>
    <row r="134" spans="1:26" ht="13.9" hidden="1" customHeight="1" x14ac:dyDescent="0.25">
      <c r="A134" s="15">
        <v>1</v>
      </c>
      <c r="B134" s="15">
        <v>3</v>
      </c>
      <c r="D134" s="79" t="s">
        <v>21</v>
      </c>
      <c r="E134" s="48">
        <v>111</v>
      </c>
      <c r="F134" s="48" t="s">
        <v>23</v>
      </c>
      <c r="G134" s="49">
        <f t="shared" ref="G134:Q134" si="82">SUM(G133)</f>
        <v>0</v>
      </c>
      <c r="H134" s="49">
        <f t="shared" si="82"/>
        <v>160.47</v>
      </c>
      <c r="I134" s="49">
        <f t="shared" si="82"/>
        <v>0</v>
      </c>
      <c r="J134" s="49">
        <f t="shared" si="82"/>
        <v>0</v>
      </c>
      <c r="K134" s="49">
        <f t="shared" si="82"/>
        <v>0</v>
      </c>
      <c r="L134" s="49">
        <f t="shared" si="82"/>
        <v>0</v>
      </c>
      <c r="M134" s="49">
        <f t="shared" si="82"/>
        <v>0</v>
      </c>
      <c r="N134" s="49">
        <f t="shared" si="82"/>
        <v>0</v>
      </c>
      <c r="O134" s="49">
        <f t="shared" si="82"/>
        <v>0</v>
      </c>
      <c r="P134" s="49">
        <f t="shared" si="82"/>
        <v>0</v>
      </c>
      <c r="Q134" s="49">
        <f t="shared" si="82"/>
        <v>0</v>
      </c>
      <c r="R134" s="50">
        <f t="shared" si="78"/>
        <v>0</v>
      </c>
      <c r="S134" s="49">
        <f>SUM(S133)</f>
        <v>0</v>
      </c>
      <c r="T134" s="50">
        <f t="shared" si="79"/>
        <v>0</v>
      </c>
      <c r="U134" s="49">
        <f>SUM(U133)</f>
        <v>0</v>
      </c>
      <c r="V134" s="50">
        <f t="shared" si="80"/>
        <v>0</v>
      </c>
      <c r="W134" s="49">
        <f>SUM(W133)</f>
        <v>0</v>
      </c>
      <c r="X134" s="50">
        <f t="shared" si="81"/>
        <v>0</v>
      </c>
      <c r="Y134" s="49">
        <f>SUM(Y133)</f>
        <v>0</v>
      </c>
      <c r="Z134" s="49">
        <f>SUM(Z133)</f>
        <v>0</v>
      </c>
    </row>
    <row r="135" spans="1:26" ht="13.9" customHeight="1" x14ac:dyDescent="0.25">
      <c r="A135" s="15">
        <v>1</v>
      </c>
      <c r="B135" s="15">
        <v>3</v>
      </c>
      <c r="D135" s="24" t="s">
        <v>162</v>
      </c>
      <c r="E135" s="24">
        <v>630</v>
      </c>
      <c r="F135" s="24" t="s">
        <v>163</v>
      </c>
      <c r="G135" s="25">
        <v>480</v>
      </c>
      <c r="H135" s="25">
        <v>232.56</v>
      </c>
      <c r="I135" s="25">
        <v>10466</v>
      </c>
      <c r="J135" s="46">
        <v>4035</v>
      </c>
      <c r="K135" s="25">
        <v>3530</v>
      </c>
      <c r="L135" s="25"/>
      <c r="M135" s="25"/>
      <c r="N135" s="25"/>
      <c r="O135" s="25"/>
      <c r="P135" s="25">
        <f>K135+SUM(L135:O135)</f>
        <v>3530</v>
      </c>
      <c r="Q135" s="25">
        <v>116.28</v>
      </c>
      <c r="R135" s="26">
        <f t="shared" si="78"/>
        <v>3.2940509915014161E-2</v>
      </c>
      <c r="S135" s="25"/>
      <c r="T135" s="26">
        <f t="shared" si="79"/>
        <v>0</v>
      </c>
      <c r="U135" s="25"/>
      <c r="V135" s="26">
        <f t="shared" si="80"/>
        <v>0</v>
      </c>
      <c r="W135" s="25"/>
      <c r="X135" s="26">
        <f t="shared" si="81"/>
        <v>0</v>
      </c>
      <c r="Y135" s="25">
        <f>K135</f>
        <v>3530</v>
      </c>
      <c r="Z135" s="25">
        <f>Y135</f>
        <v>3530</v>
      </c>
    </row>
    <row r="136" spans="1:26" ht="13.9" customHeight="1" x14ac:dyDescent="0.25">
      <c r="A136" s="15">
        <v>1</v>
      </c>
      <c r="B136" s="15">
        <v>3</v>
      </c>
      <c r="D136" s="43" t="s">
        <v>130</v>
      </c>
      <c r="E136" s="24">
        <v>630</v>
      </c>
      <c r="F136" s="24" t="s">
        <v>133</v>
      </c>
      <c r="G136" s="25">
        <v>1964.38</v>
      </c>
      <c r="H136" s="25">
        <v>1833.06</v>
      </c>
      <c r="I136" s="25">
        <v>2007</v>
      </c>
      <c r="J136" s="25">
        <v>6163</v>
      </c>
      <c r="K136" s="25">
        <v>15465</v>
      </c>
      <c r="L136" s="25">
        <v>2218</v>
      </c>
      <c r="M136" s="25"/>
      <c r="N136" s="25"/>
      <c r="O136" s="25"/>
      <c r="P136" s="25">
        <f>K136+SUM(L136:O136)</f>
        <v>17683</v>
      </c>
      <c r="Q136" s="25">
        <v>811.07</v>
      </c>
      <c r="R136" s="26">
        <f t="shared" si="78"/>
        <v>4.5867217101170615E-2</v>
      </c>
      <c r="S136" s="25"/>
      <c r="T136" s="26">
        <f t="shared" si="79"/>
        <v>0</v>
      </c>
      <c r="U136" s="25"/>
      <c r="V136" s="26">
        <f t="shared" si="80"/>
        <v>0</v>
      </c>
      <c r="W136" s="25"/>
      <c r="X136" s="26">
        <f t="shared" si="81"/>
        <v>0</v>
      </c>
      <c r="Y136" s="25">
        <f>K136</f>
        <v>15465</v>
      </c>
      <c r="Z136" s="25">
        <f>Y136</f>
        <v>15465</v>
      </c>
    </row>
    <row r="137" spans="1:26" ht="13.9" customHeight="1" x14ac:dyDescent="0.25">
      <c r="A137" s="15">
        <v>1</v>
      </c>
      <c r="B137" s="15">
        <v>3</v>
      </c>
      <c r="D137" s="79" t="s">
        <v>21</v>
      </c>
      <c r="E137" s="48">
        <v>41</v>
      </c>
      <c r="F137" s="48" t="s">
        <v>23</v>
      </c>
      <c r="G137" s="49">
        <f t="shared" ref="G137:Q137" si="83">SUM(G135:G136)</f>
        <v>2444.38</v>
      </c>
      <c r="H137" s="49">
        <f t="shared" si="83"/>
        <v>2065.62</v>
      </c>
      <c r="I137" s="49">
        <f t="shared" si="83"/>
        <v>12473</v>
      </c>
      <c r="J137" s="49">
        <f t="shared" si="83"/>
        <v>10198</v>
      </c>
      <c r="K137" s="49">
        <f t="shared" si="83"/>
        <v>18995</v>
      </c>
      <c r="L137" s="49">
        <f t="shared" si="83"/>
        <v>2218</v>
      </c>
      <c r="M137" s="49">
        <f t="shared" si="83"/>
        <v>0</v>
      </c>
      <c r="N137" s="49">
        <f t="shared" si="83"/>
        <v>0</v>
      </c>
      <c r="O137" s="49">
        <f t="shared" si="83"/>
        <v>0</v>
      </c>
      <c r="P137" s="49">
        <f t="shared" si="83"/>
        <v>21213</v>
      </c>
      <c r="Q137" s="49">
        <f t="shared" si="83"/>
        <v>927.35</v>
      </c>
      <c r="R137" s="50">
        <f t="shared" si="78"/>
        <v>4.3716117475133175E-2</v>
      </c>
      <c r="S137" s="49">
        <f>SUM(S135:S136)</f>
        <v>0</v>
      </c>
      <c r="T137" s="50">
        <f t="shared" si="79"/>
        <v>0</v>
      </c>
      <c r="U137" s="49">
        <f>SUM(U135:U136)</f>
        <v>0</v>
      </c>
      <c r="V137" s="50">
        <f t="shared" si="80"/>
        <v>0</v>
      </c>
      <c r="W137" s="49">
        <f>SUM(W135:W136)</f>
        <v>0</v>
      </c>
      <c r="X137" s="50">
        <f t="shared" si="81"/>
        <v>0</v>
      </c>
      <c r="Y137" s="49">
        <f>SUM(Y135:Y136)</f>
        <v>18995</v>
      </c>
      <c r="Z137" s="49">
        <f>SUM(Z135:Z136)</f>
        <v>18995</v>
      </c>
    </row>
    <row r="138" spans="1:26" ht="13.9" customHeight="1" x14ac:dyDescent="0.25">
      <c r="A138" s="15">
        <v>1</v>
      </c>
      <c r="B138" s="15">
        <v>3</v>
      </c>
      <c r="D138" s="86"/>
      <c r="E138" s="87"/>
      <c r="F138" s="27" t="s">
        <v>126</v>
      </c>
      <c r="G138" s="28">
        <f t="shared" ref="G138:Q138" si="84">G134+G137</f>
        <v>2444.38</v>
      </c>
      <c r="H138" s="28">
        <f t="shared" si="84"/>
        <v>2226.0899999999997</v>
      </c>
      <c r="I138" s="28">
        <f t="shared" si="84"/>
        <v>12473</v>
      </c>
      <c r="J138" s="28">
        <f t="shared" si="84"/>
        <v>10198</v>
      </c>
      <c r="K138" s="28">
        <f t="shared" si="84"/>
        <v>18995</v>
      </c>
      <c r="L138" s="28">
        <f t="shared" si="84"/>
        <v>2218</v>
      </c>
      <c r="M138" s="28">
        <f t="shared" si="84"/>
        <v>0</v>
      </c>
      <c r="N138" s="28">
        <f t="shared" si="84"/>
        <v>0</v>
      </c>
      <c r="O138" s="28">
        <f t="shared" si="84"/>
        <v>0</v>
      </c>
      <c r="P138" s="28">
        <f t="shared" si="84"/>
        <v>21213</v>
      </c>
      <c r="Q138" s="28">
        <f t="shared" si="84"/>
        <v>927.35</v>
      </c>
      <c r="R138" s="29">
        <f t="shared" si="78"/>
        <v>4.3716117475133175E-2</v>
      </c>
      <c r="S138" s="28">
        <f>S134+S137</f>
        <v>0</v>
      </c>
      <c r="T138" s="29">
        <f t="shared" si="79"/>
        <v>0</v>
      </c>
      <c r="U138" s="28">
        <f>U134+U137</f>
        <v>0</v>
      </c>
      <c r="V138" s="29">
        <f t="shared" si="80"/>
        <v>0</v>
      </c>
      <c r="W138" s="28">
        <f>W134+W137</f>
        <v>0</v>
      </c>
      <c r="X138" s="29">
        <f t="shared" si="81"/>
        <v>0</v>
      </c>
      <c r="Y138" s="28">
        <f>Y134+Y137</f>
        <v>18995</v>
      </c>
      <c r="Z138" s="28">
        <f>Z134+Z137</f>
        <v>18995</v>
      </c>
    </row>
    <row r="140" spans="1:26" ht="13.9" customHeight="1" x14ac:dyDescent="0.25">
      <c r="E140" s="52" t="s">
        <v>55</v>
      </c>
      <c r="F140" s="30" t="s">
        <v>149</v>
      </c>
      <c r="G140" s="53">
        <v>407</v>
      </c>
      <c r="H140" s="53">
        <v>802.7</v>
      </c>
      <c r="I140" s="53">
        <v>803</v>
      </c>
      <c r="J140" s="53">
        <v>411</v>
      </c>
      <c r="K140" s="53">
        <v>400</v>
      </c>
      <c r="L140" s="53"/>
      <c r="M140" s="53"/>
      <c r="N140" s="53"/>
      <c r="O140" s="53"/>
      <c r="P140" s="53">
        <f>K140+SUM(L140:O140)</f>
        <v>400</v>
      </c>
      <c r="Q140" s="53">
        <v>124.29</v>
      </c>
      <c r="R140" s="54">
        <f>IFERROR(Q140/$P140,0)</f>
        <v>0.31072500000000003</v>
      </c>
      <c r="S140" s="53"/>
      <c r="T140" s="54">
        <f>IFERROR(S140/$P140,0)</f>
        <v>0</v>
      </c>
      <c r="U140" s="53"/>
      <c r="V140" s="54">
        <f>IFERROR(U140/$P140,0)</f>
        <v>0</v>
      </c>
      <c r="W140" s="53"/>
      <c r="X140" s="55">
        <f>IFERROR(W140/$P140,0)</f>
        <v>0</v>
      </c>
      <c r="Y140" s="53">
        <f>K140</f>
        <v>400</v>
      </c>
      <c r="Z140" s="56">
        <f>Y140</f>
        <v>400</v>
      </c>
    </row>
    <row r="141" spans="1:26" ht="13.9" customHeight="1" x14ac:dyDescent="0.25">
      <c r="E141" s="57"/>
      <c r="F141" s="15" t="s">
        <v>150</v>
      </c>
      <c r="G141" s="59">
        <v>242</v>
      </c>
      <c r="H141" s="59">
        <v>88</v>
      </c>
      <c r="I141" s="59">
        <v>88</v>
      </c>
      <c r="J141" s="59">
        <v>44</v>
      </c>
      <c r="K141" s="59">
        <v>22</v>
      </c>
      <c r="L141" s="59"/>
      <c r="M141" s="59"/>
      <c r="N141" s="59"/>
      <c r="O141" s="59"/>
      <c r="P141" s="59">
        <f>K141+SUM(L141:O141)</f>
        <v>22</v>
      </c>
      <c r="Q141" s="59">
        <v>17.04</v>
      </c>
      <c r="R141" s="16">
        <f>IFERROR(Q141/$P141,0)</f>
        <v>0.77454545454545454</v>
      </c>
      <c r="S141" s="59"/>
      <c r="T141" s="16">
        <f>IFERROR(S141/$P141,0)</f>
        <v>0</v>
      </c>
      <c r="U141" s="59"/>
      <c r="V141" s="16">
        <f>IFERROR(U141/$P141,0)</f>
        <v>0</v>
      </c>
      <c r="W141" s="59"/>
      <c r="X141" s="60">
        <f>IFERROR(W141/$P141,0)</f>
        <v>0</v>
      </c>
      <c r="Y141" s="59">
        <f>K141</f>
        <v>22</v>
      </c>
      <c r="Z141" s="61">
        <f>Y141</f>
        <v>22</v>
      </c>
    </row>
    <row r="142" spans="1:26" ht="13.9" customHeight="1" x14ac:dyDescent="0.25">
      <c r="E142" s="57"/>
      <c r="F142" s="15" t="s">
        <v>164</v>
      </c>
      <c r="G142" s="59">
        <v>0</v>
      </c>
      <c r="H142" s="59">
        <v>0</v>
      </c>
      <c r="I142" s="59">
        <v>10000</v>
      </c>
      <c r="J142" s="59">
        <v>3570</v>
      </c>
      <c r="K142" s="59">
        <v>15000</v>
      </c>
      <c r="L142" s="59"/>
      <c r="M142" s="59"/>
      <c r="N142" s="59"/>
      <c r="O142" s="59"/>
      <c r="P142" s="59">
        <f>K142+SUM(L142:O142)</f>
        <v>15000</v>
      </c>
      <c r="Q142" s="59">
        <v>0</v>
      </c>
      <c r="R142" s="16">
        <f>IFERROR(Q142/$P142,0)</f>
        <v>0</v>
      </c>
      <c r="S142" s="59"/>
      <c r="T142" s="16">
        <f>IFERROR(S142/$P142,0)</f>
        <v>0</v>
      </c>
      <c r="U142" s="59"/>
      <c r="V142" s="16">
        <f>IFERROR(U142/$P142,0)</f>
        <v>0</v>
      </c>
      <c r="W142" s="59"/>
      <c r="X142" s="60">
        <f>IFERROR(W142/$P142,0)</f>
        <v>0</v>
      </c>
      <c r="Y142" s="59">
        <f>K142</f>
        <v>15000</v>
      </c>
      <c r="Z142" s="61">
        <f>Y142</f>
        <v>15000</v>
      </c>
    </row>
    <row r="143" spans="1:26" ht="13.9" customHeight="1" x14ac:dyDescent="0.25">
      <c r="E143" s="100"/>
      <c r="F143" s="101" t="s">
        <v>165</v>
      </c>
      <c r="G143" s="102">
        <v>0</v>
      </c>
      <c r="H143" s="102">
        <v>0</v>
      </c>
      <c r="I143" s="102">
        <v>600</v>
      </c>
      <c r="J143" s="102">
        <v>3730</v>
      </c>
      <c r="K143" s="102">
        <v>2040</v>
      </c>
      <c r="L143" s="102"/>
      <c r="M143" s="102"/>
      <c r="N143" s="102"/>
      <c r="O143" s="102"/>
      <c r="P143" s="102">
        <f>K143+SUM(L143:O143)</f>
        <v>2040</v>
      </c>
      <c r="Q143" s="102">
        <v>0</v>
      </c>
      <c r="R143" s="103">
        <f>IFERROR(Q143/$P143,0)</f>
        <v>0</v>
      </c>
      <c r="S143" s="102"/>
      <c r="T143" s="103">
        <f>IFERROR(S143/$P143,0)</f>
        <v>0</v>
      </c>
      <c r="U143" s="102"/>
      <c r="V143" s="103">
        <f>IFERROR(U143/$P143,0)</f>
        <v>0</v>
      </c>
      <c r="W143" s="102"/>
      <c r="X143" s="104">
        <f>IFERROR(W143/$P143,0)</f>
        <v>0</v>
      </c>
      <c r="Y143" s="105">
        <f>K143</f>
        <v>2040</v>
      </c>
      <c r="Z143" s="106">
        <f>Y143</f>
        <v>2040</v>
      </c>
    </row>
    <row r="144" spans="1:26" ht="13.9" customHeight="1" x14ac:dyDescent="0.25"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S144" s="59"/>
      <c r="U144" s="59"/>
      <c r="W144" s="59"/>
      <c r="Y144" s="59"/>
      <c r="Z144" s="59"/>
    </row>
    <row r="145" spans="1:26" ht="13.9" hidden="1" customHeight="1" x14ac:dyDescent="0.25">
      <c r="D145" s="7" t="s">
        <v>166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9" hidden="1" customHeight="1" x14ac:dyDescent="0.25">
      <c r="D146" s="21" t="s">
        <v>32</v>
      </c>
      <c r="E146" s="21" t="s">
        <v>33</v>
      </c>
      <c r="F146" s="21" t="s">
        <v>34</v>
      </c>
      <c r="G146" s="21" t="s">
        <v>1</v>
      </c>
      <c r="H146" s="21" t="s">
        <v>2</v>
      </c>
      <c r="I146" s="21" t="s">
        <v>3</v>
      </c>
      <c r="J146" s="21" t="s">
        <v>4</v>
      </c>
      <c r="K146" s="21" t="s">
        <v>5</v>
      </c>
      <c r="L146" s="21" t="s">
        <v>6</v>
      </c>
      <c r="M146" s="21" t="s">
        <v>7</v>
      </c>
      <c r="N146" s="21" t="s">
        <v>8</v>
      </c>
      <c r="O146" s="21" t="s">
        <v>9</v>
      </c>
      <c r="P146" s="21" t="s">
        <v>123</v>
      </c>
      <c r="Q146" s="21" t="s">
        <v>11</v>
      </c>
      <c r="R146" s="22" t="s">
        <v>12</v>
      </c>
      <c r="S146" s="21" t="s">
        <v>13</v>
      </c>
      <c r="T146" s="22" t="s">
        <v>14</v>
      </c>
      <c r="U146" s="21" t="s">
        <v>15</v>
      </c>
      <c r="V146" s="22" t="s">
        <v>16</v>
      </c>
      <c r="W146" s="21" t="s">
        <v>17</v>
      </c>
      <c r="X146" s="22" t="s">
        <v>18</v>
      </c>
      <c r="Y146" s="21" t="s">
        <v>19</v>
      </c>
      <c r="Z146" s="21" t="s">
        <v>20</v>
      </c>
    </row>
    <row r="147" spans="1:26" ht="13.9" hidden="1" customHeight="1" x14ac:dyDescent="0.25">
      <c r="A147" s="15">
        <v>1</v>
      </c>
      <c r="B147" s="15">
        <v>4</v>
      </c>
      <c r="D147" s="13" t="s">
        <v>167</v>
      </c>
      <c r="E147" s="107">
        <v>610</v>
      </c>
      <c r="F147" s="107" t="s">
        <v>131</v>
      </c>
      <c r="G147" s="46">
        <v>315.83999999999997</v>
      </c>
      <c r="H147" s="46">
        <v>240</v>
      </c>
      <c r="I147" s="46">
        <v>240</v>
      </c>
      <c r="J147" s="46">
        <v>480</v>
      </c>
      <c r="K147" s="46">
        <v>0</v>
      </c>
      <c r="L147" s="46"/>
      <c r="M147" s="46"/>
      <c r="N147" s="46"/>
      <c r="O147" s="46"/>
      <c r="P147" s="46">
        <f>K147+SUM(L147:O147)</f>
        <v>0</v>
      </c>
      <c r="Q147" s="46"/>
      <c r="R147" s="47">
        <f>IFERROR(Q147/$P147,0)</f>
        <v>0</v>
      </c>
      <c r="S147" s="46"/>
      <c r="T147" s="47">
        <f>IFERROR(S147/$P147,0)</f>
        <v>0</v>
      </c>
      <c r="U147" s="46"/>
      <c r="V147" s="47">
        <f>IFERROR(U147/$P147,0)</f>
        <v>0</v>
      </c>
      <c r="W147" s="46"/>
      <c r="X147" s="47">
        <f>IFERROR(W147/$P147,0)</f>
        <v>0</v>
      </c>
      <c r="Y147" s="25">
        <v>480</v>
      </c>
      <c r="Z147" s="25">
        <v>240</v>
      </c>
    </row>
    <row r="148" spans="1:26" ht="13.9" hidden="1" customHeight="1" x14ac:dyDescent="0.25">
      <c r="A148" s="15">
        <v>1</v>
      </c>
      <c r="B148" s="15">
        <v>4</v>
      </c>
      <c r="D148" s="13"/>
      <c r="E148" s="107">
        <v>620</v>
      </c>
      <c r="F148" s="107" t="s">
        <v>132</v>
      </c>
      <c r="G148" s="46">
        <v>110.33</v>
      </c>
      <c r="H148" s="46">
        <v>118.3</v>
      </c>
      <c r="I148" s="46">
        <v>118</v>
      </c>
      <c r="J148" s="46">
        <v>175</v>
      </c>
      <c r="K148" s="46">
        <v>0</v>
      </c>
      <c r="L148" s="46"/>
      <c r="M148" s="46"/>
      <c r="N148" s="46"/>
      <c r="O148" s="46"/>
      <c r="P148" s="46">
        <f>K148+SUM(L148:O148)</f>
        <v>0</v>
      </c>
      <c r="Q148" s="46"/>
      <c r="R148" s="47">
        <f>IFERROR(Q148/$P148,0)</f>
        <v>0</v>
      </c>
      <c r="S148" s="46"/>
      <c r="T148" s="47">
        <f>IFERROR(S148/$P148,0)</f>
        <v>0</v>
      </c>
      <c r="U148" s="46"/>
      <c r="V148" s="47">
        <f>IFERROR(U148/$P148,0)</f>
        <v>0</v>
      </c>
      <c r="W148" s="46"/>
      <c r="X148" s="47">
        <f>IFERROR(W148/$P148,0)</f>
        <v>0</v>
      </c>
      <c r="Y148" s="25">
        <v>175</v>
      </c>
      <c r="Z148" s="25">
        <v>118</v>
      </c>
    </row>
    <row r="149" spans="1:26" ht="13.9" hidden="1" customHeight="1" x14ac:dyDescent="0.25">
      <c r="A149" s="15">
        <v>1</v>
      </c>
      <c r="B149" s="15">
        <v>4</v>
      </c>
      <c r="D149" s="13"/>
      <c r="E149" s="107">
        <v>630</v>
      </c>
      <c r="F149" s="107" t="s">
        <v>133</v>
      </c>
      <c r="G149" s="46">
        <v>7063.67</v>
      </c>
      <c r="H149" s="46">
        <v>4223.46</v>
      </c>
      <c r="I149" s="46">
        <v>4142</v>
      </c>
      <c r="J149" s="46">
        <v>6990</v>
      </c>
      <c r="K149" s="46">
        <v>0</v>
      </c>
      <c r="L149" s="46"/>
      <c r="M149" s="46"/>
      <c r="N149" s="46"/>
      <c r="O149" s="46"/>
      <c r="P149" s="46">
        <f>K149+SUM(L149:O149)</f>
        <v>0</v>
      </c>
      <c r="Q149" s="46"/>
      <c r="R149" s="47">
        <f>IFERROR(Q149/$P149,0)</f>
        <v>0</v>
      </c>
      <c r="S149" s="46"/>
      <c r="T149" s="47">
        <f>IFERROR(S149/$P149,0)</f>
        <v>0</v>
      </c>
      <c r="U149" s="46"/>
      <c r="V149" s="47">
        <f>IFERROR(U149/$P149,0)</f>
        <v>0</v>
      </c>
      <c r="W149" s="46"/>
      <c r="X149" s="47">
        <f>IFERROR(W149/$P149,0)</f>
        <v>0</v>
      </c>
      <c r="Y149" s="46">
        <v>6990</v>
      </c>
      <c r="Z149" s="46">
        <v>4142</v>
      </c>
    </row>
    <row r="150" spans="1:26" ht="13.9" hidden="1" customHeight="1" x14ac:dyDescent="0.25">
      <c r="A150" s="15">
        <v>1</v>
      </c>
      <c r="B150" s="15">
        <v>4</v>
      </c>
      <c r="D150" s="108" t="s">
        <v>21</v>
      </c>
      <c r="E150" s="109">
        <v>111</v>
      </c>
      <c r="F150" s="109" t="s">
        <v>136</v>
      </c>
      <c r="G150" s="98">
        <f t="shared" ref="G150:Q150" si="85">SUM(G147:G149)</f>
        <v>7489.84</v>
      </c>
      <c r="H150" s="98">
        <f t="shared" si="85"/>
        <v>4581.76</v>
      </c>
      <c r="I150" s="98">
        <f t="shared" si="85"/>
        <v>4500</v>
      </c>
      <c r="J150" s="98">
        <f t="shared" si="85"/>
        <v>7645</v>
      </c>
      <c r="K150" s="98">
        <f t="shared" si="85"/>
        <v>0</v>
      </c>
      <c r="L150" s="98">
        <f t="shared" si="85"/>
        <v>0</v>
      </c>
      <c r="M150" s="98">
        <f t="shared" si="85"/>
        <v>0</v>
      </c>
      <c r="N150" s="98">
        <f t="shared" si="85"/>
        <v>0</v>
      </c>
      <c r="O150" s="98">
        <f t="shared" si="85"/>
        <v>0</v>
      </c>
      <c r="P150" s="98">
        <f t="shared" si="85"/>
        <v>0</v>
      </c>
      <c r="Q150" s="98">
        <f t="shared" si="85"/>
        <v>0</v>
      </c>
      <c r="R150" s="99">
        <f>IFERROR(Q150/$P150,0)</f>
        <v>0</v>
      </c>
      <c r="S150" s="98">
        <f>SUM(S147:S149)</f>
        <v>0</v>
      </c>
      <c r="T150" s="99">
        <f>IFERROR(S150/$P150,0)</f>
        <v>0</v>
      </c>
      <c r="U150" s="98">
        <f>SUM(U147:U149)</f>
        <v>0</v>
      </c>
      <c r="V150" s="99">
        <f>IFERROR(U150/$P150,0)</f>
        <v>0</v>
      </c>
      <c r="W150" s="98">
        <f>SUM(W147:W149)</f>
        <v>0</v>
      </c>
      <c r="X150" s="99">
        <f>IFERROR(W150/$P150,0)</f>
        <v>0</v>
      </c>
      <c r="Y150" s="98">
        <f>SUM(Y147:Y149)</f>
        <v>7645</v>
      </c>
      <c r="Z150" s="98">
        <f>SUM(Z147:Z149)</f>
        <v>4500</v>
      </c>
    </row>
    <row r="151" spans="1:26" ht="13.9" hidden="1" customHeight="1" x14ac:dyDescent="0.25">
      <c r="A151" s="15">
        <v>1</v>
      </c>
      <c r="B151" s="15">
        <v>4</v>
      </c>
      <c r="D151" s="110"/>
      <c r="E151" s="111"/>
      <c r="F151" s="112" t="s">
        <v>126</v>
      </c>
      <c r="G151" s="113">
        <f t="shared" ref="G151:Q151" si="86">G150</f>
        <v>7489.84</v>
      </c>
      <c r="H151" s="113">
        <f t="shared" si="86"/>
        <v>4581.76</v>
      </c>
      <c r="I151" s="113">
        <f t="shared" si="86"/>
        <v>4500</v>
      </c>
      <c r="J151" s="113">
        <f t="shared" si="86"/>
        <v>7645</v>
      </c>
      <c r="K151" s="113">
        <f t="shared" si="86"/>
        <v>0</v>
      </c>
      <c r="L151" s="113">
        <f t="shared" si="86"/>
        <v>0</v>
      </c>
      <c r="M151" s="113">
        <f t="shared" si="86"/>
        <v>0</v>
      </c>
      <c r="N151" s="113">
        <f t="shared" si="86"/>
        <v>0</v>
      </c>
      <c r="O151" s="113">
        <f t="shared" si="86"/>
        <v>0</v>
      </c>
      <c r="P151" s="113">
        <f t="shared" si="86"/>
        <v>0</v>
      </c>
      <c r="Q151" s="113">
        <f t="shared" si="86"/>
        <v>0</v>
      </c>
      <c r="R151" s="114">
        <f>IFERROR(Q151/$P151,0)</f>
        <v>0</v>
      </c>
      <c r="S151" s="113">
        <f>S150</f>
        <v>0</v>
      </c>
      <c r="T151" s="114">
        <f>IFERROR(S151/$P151,0)</f>
        <v>0</v>
      </c>
      <c r="U151" s="113">
        <f>U150</f>
        <v>0</v>
      </c>
      <c r="V151" s="114">
        <f>IFERROR(U151/$P151,0)</f>
        <v>0</v>
      </c>
      <c r="W151" s="113">
        <f>W150</f>
        <v>0</v>
      </c>
      <c r="X151" s="114">
        <f>IFERROR(W151/$P151,0)</f>
        <v>0</v>
      </c>
      <c r="Y151" s="113">
        <f>Y150</f>
        <v>7645</v>
      </c>
      <c r="Z151" s="113">
        <f>Z150</f>
        <v>4500</v>
      </c>
    </row>
    <row r="152" spans="1:26" ht="13.9" hidden="1" customHeight="1" x14ac:dyDescent="0.25"/>
    <row r="153" spans="1:26" ht="13.9" customHeight="1" x14ac:dyDescent="0.25">
      <c r="D153" s="9" t="s">
        <v>168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9" customHeight="1" x14ac:dyDescent="0.25">
      <c r="D154" s="20"/>
      <c r="E154" s="20"/>
      <c r="F154" s="20"/>
      <c r="G154" s="21" t="s">
        <v>1</v>
      </c>
      <c r="H154" s="21" t="s">
        <v>2</v>
      </c>
      <c r="I154" s="21" t="s">
        <v>3</v>
      </c>
      <c r="J154" s="21" t="s">
        <v>4</v>
      </c>
      <c r="K154" s="21" t="s">
        <v>5</v>
      </c>
      <c r="L154" s="21" t="s">
        <v>6</v>
      </c>
      <c r="M154" s="21" t="s">
        <v>7</v>
      </c>
      <c r="N154" s="21" t="s">
        <v>8</v>
      </c>
      <c r="O154" s="21" t="s">
        <v>9</v>
      </c>
      <c r="P154" s="21" t="s">
        <v>123</v>
      </c>
      <c r="Q154" s="21" t="s">
        <v>11</v>
      </c>
      <c r="R154" s="22" t="s">
        <v>12</v>
      </c>
      <c r="S154" s="21" t="s">
        <v>13</v>
      </c>
      <c r="T154" s="22" t="s">
        <v>14</v>
      </c>
      <c r="U154" s="21" t="s">
        <v>15</v>
      </c>
      <c r="V154" s="22" t="s">
        <v>16</v>
      </c>
      <c r="W154" s="21" t="s">
        <v>17</v>
      </c>
      <c r="X154" s="22" t="s">
        <v>18</v>
      </c>
      <c r="Y154" s="21" t="s">
        <v>19</v>
      </c>
      <c r="Z154" s="21" t="s">
        <v>20</v>
      </c>
    </row>
    <row r="155" spans="1:26" ht="13.9" customHeight="1" x14ac:dyDescent="0.25">
      <c r="A155" s="15">
        <v>2</v>
      </c>
      <c r="D155" s="12" t="s">
        <v>21</v>
      </c>
      <c r="E155" s="35">
        <v>111</v>
      </c>
      <c r="F155" s="35" t="s">
        <v>45</v>
      </c>
      <c r="G155" s="36">
        <f t="shared" ref="G155:Q155" si="87">G165</f>
        <v>647334.14</v>
      </c>
      <c r="H155" s="36">
        <f t="shared" si="87"/>
        <v>799105.12</v>
      </c>
      <c r="I155" s="36">
        <f t="shared" si="87"/>
        <v>780000</v>
      </c>
      <c r="J155" s="36">
        <f t="shared" si="87"/>
        <v>906547</v>
      </c>
      <c r="K155" s="36">
        <f t="shared" si="87"/>
        <v>1172589</v>
      </c>
      <c r="L155" s="36">
        <f t="shared" si="87"/>
        <v>42001</v>
      </c>
      <c r="M155" s="36">
        <f t="shared" si="87"/>
        <v>0</v>
      </c>
      <c r="N155" s="36">
        <f t="shared" si="87"/>
        <v>0</v>
      </c>
      <c r="O155" s="36">
        <f t="shared" si="87"/>
        <v>0</v>
      </c>
      <c r="P155" s="36">
        <f t="shared" si="87"/>
        <v>1214590</v>
      </c>
      <c r="Q155" s="36">
        <f t="shared" si="87"/>
        <v>197818.46000000002</v>
      </c>
      <c r="R155" s="37">
        <f>IFERROR(Q155/$P155,0)</f>
        <v>0.16286850706822881</v>
      </c>
      <c r="S155" s="36">
        <f>S165</f>
        <v>0</v>
      </c>
      <c r="T155" s="37">
        <f>IFERROR(S155/$P155,0)</f>
        <v>0</v>
      </c>
      <c r="U155" s="36">
        <f>U165</f>
        <v>0</v>
      </c>
      <c r="V155" s="37">
        <f>IFERROR(U155/$P155,0)</f>
        <v>0</v>
      </c>
      <c r="W155" s="36">
        <f>W165</f>
        <v>0</v>
      </c>
      <c r="X155" s="37">
        <f>IFERROR(W155/$P155,0)</f>
        <v>0</v>
      </c>
      <c r="Y155" s="36">
        <f>Y165</f>
        <v>1110780</v>
      </c>
      <c r="Z155" s="36">
        <f>Z165</f>
        <v>1116880</v>
      </c>
    </row>
    <row r="156" spans="1:26" ht="13.9" customHeight="1" x14ac:dyDescent="0.25">
      <c r="A156" s="15">
        <v>2</v>
      </c>
      <c r="D156" s="12"/>
      <c r="E156" s="35">
        <v>41</v>
      </c>
      <c r="F156" s="35" t="s">
        <v>23</v>
      </c>
      <c r="G156" s="36">
        <f t="shared" ref="G156:Q156" si="88">G171</f>
        <v>336431.55</v>
      </c>
      <c r="H156" s="36">
        <f t="shared" si="88"/>
        <v>323565.08999999997</v>
      </c>
      <c r="I156" s="36">
        <f t="shared" si="88"/>
        <v>398893</v>
      </c>
      <c r="J156" s="36">
        <f t="shared" si="88"/>
        <v>432411</v>
      </c>
      <c r="K156" s="36">
        <f t="shared" si="88"/>
        <v>161712</v>
      </c>
      <c r="L156" s="36">
        <f t="shared" si="88"/>
        <v>0</v>
      </c>
      <c r="M156" s="36">
        <f t="shared" si="88"/>
        <v>0</v>
      </c>
      <c r="N156" s="36">
        <f t="shared" si="88"/>
        <v>0</v>
      </c>
      <c r="O156" s="36">
        <f t="shared" si="88"/>
        <v>0</v>
      </c>
      <c r="P156" s="36">
        <f t="shared" si="88"/>
        <v>161712</v>
      </c>
      <c r="Q156" s="36">
        <f t="shared" si="88"/>
        <v>23045.61</v>
      </c>
      <c r="R156" s="37">
        <f>IFERROR(Q156/$P156,0)</f>
        <v>0.14251020332442862</v>
      </c>
      <c r="S156" s="36">
        <f>S171</f>
        <v>0</v>
      </c>
      <c r="T156" s="37">
        <f>IFERROR(S156/$P156,0)</f>
        <v>0</v>
      </c>
      <c r="U156" s="36">
        <f>U171</f>
        <v>0</v>
      </c>
      <c r="V156" s="37">
        <f>IFERROR(U156/$P156,0)</f>
        <v>0</v>
      </c>
      <c r="W156" s="36">
        <f>W171</f>
        <v>0</v>
      </c>
      <c r="X156" s="37">
        <f>IFERROR(W156/$P156,0)</f>
        <v>0</v>
      </c>
      <c r="Y156" s="36">
        <f>Y171</f>
        <v>173301</v>
      </c>
      <c r="Z156" s="36">
        <f>Z171</f>
        <v>175930</v>
      </c>
    </row>
    <row r="157" spans="1:26" ht="13.9" customHeight="1" x14ac:dyDescent="0.25">
      <c r="A157" s="15">
        <v>2</v>
      </c>
      <c r="D157" s="12"/>
      <c r="E157" s="35">
        <v>72</v>
      </c>
      <c r="F157" s="35" t="s">
        <v>25</v>
      </c>
      <c r="G157" s="36">
        <f t="shared" ref="G157:Q157" si="89">G173</f>
        <v>71545.320000000007</v>
      </c>
      <c r="H157" s="36">
        <f t="shared" si="89"/>
        <v>97546.64</v>
      </c>
      <c r="I157" s="36">
        <f t="shared" si="89"/>
        <v>97900</v>
      </c>
      <c r="J157" s="36">
        <f t="shared" si="89"/>
        <v>90145</v>
      </c>
      <c r="K157" s="36">
        <f t="shared" si="89"/>
        <v>92100</v>
      </c>
      <c r="L157" s="36">
        <f t="shared" si="89"/>
        <v>12910</v>
      </c>
      <c r="M157" s="36">
        <f t="shared" si="89"/>
        <v>0</v>
      </c>
      <c r="N157" s="36">
        <f t="shared" si="89"/>
        <v>0</v>
      </c>
      <c r="O157" s="36">
        <f t="shared" si="89"/>
        <v>0</v>
      </c>
      <c r="P157" s="36">
        <f t="shared" si="89"/>
        <v>105010</v>
      </c>
      <c r="Q157" s="36">
        <f t="shared" si="89"/>
        <v>11177.83</v>
      </c>
      <c r="R157" s="37">
        <f>IFERROR(Q157/$P157,0)</f>
        <v>0.10644538615369965</v>
      </c>
      <c r="S157" s="36">
        <f>S173</f>
        <v>0</v>
      </c>
      <c r="T157" s="37">
        <f>IFERROR(S157/$P157,0)</f>
        <v>0</v>
      </c>
      <c r="U157" s="36">
        <f>U173</f>
        <v>0</v>
      </c>
      <c r="V157" s="37">
        <f>IFERROR(U157/$P157,0)</f>
        <v>0</v>
      </c>
      <c r="W157" s="36">
        <f>W173</f>
        <v>0</v>
      </c>
      <c r="X157" s="37">
        <f>IFERROR(W157/$P157,0)</f>
        <v>0</v>
      </c>
      <c r="Y157" s="36">
        <f>Y173</f>
        <v>92600</v>
      </c>
      <c r="Z157" s="36">
        <f>Z173</f>
        <v>92600</v>
      </c>
    </row>
    <row r="158" spans="1:26" ht="13.9" customHeight="1" x14ac:dyDescent="0.25">
      <c r="A158" s="15">
        <v>2</v>
      </c>
      <c r="D158" s="30"/>
      <c r="E158" s="31"/>
      <c r="F158" s="38" t="s">
        <v>126</v>
      </c>
      <c r="G158" s="39">
        <f t="shared" ref="G158:Q158" si="90">SUM(G155:G157)</f>
        <v>1055311.01</v>
      </c>
      <c r="H158" s="39">
        <f t="shared" si="90"/>
        <v>1220216.8499999999</v>
      </c>
      <c r="I158" s="39">
        <f t="shared" si="90"/>
        <v>1276793</v>
      </c>
      <c r="J158" s="39">
        <f t="shared" si="90"/>
        <v>1429103</v>
      </c>
      <c r="K158" s="39">
        <f t="shared" si="90"/>
        <v>1426401</v>
      </c>
      <c r="L158" s="39">
        <f t="shared" si="90"/>
        <v>54911</v>
      </c>
      <c r="M158" s="39">
        <f t="shared" si="90"/>
        <v>0</v>
      </c>
      <c r="N158" s="39">
        <f t="shared" si="90"/>
        <v>0</v>
      </c>
      <c r="O158" s="39">
        <f t="shared" si="90"/>
        <v>0</v>
      </c>
      <c r="P158" s="39">
        <f t="shared" si="90"/>
        <v>1481312</v>
      </c>
      <c r="Q158" s="39">
        <f t="shared" si="90"/>
        <v>232041.9</v>
      </c>
      <c r="R158" s="40">
        <f>IFERROR(Q158/$P158,0)</f>
        <v>0.15664620282560324</v>
      </c>
      <c r="S158" s="39">
        <f>SUM(S155:S157)</f>
        <v>0</v>
      </c>
      <c r="T158" s="40">
        <f>IFERROR(S158/$P158,0)</f>
        <v>0</v>
      </c>
      <c r="U158" s="39">
        <f>SUM(U155:U157)</f>
        <v>0</v>
      </c>
      <c r="V158" s="40">
        <f>IFERROR(U158/$P158,0)</f>
        <v>0</v>
      </c>
      <c r="W158" s="39">
        <f>SUM(W155:W157)</f>
        <v>0</v>
      </c>
      <c r="X158" s="40">
        <f>IFERROR(W158/$P158,0)</f>
        <v>0</v>
      </c>
      <c r="Y158" s="39">
        <f>SUM(Y155:Y157)</f>
        <v>1376681</v>
      </c>
      <c r="Z158" s="39">
        <f>SUM(Z155:Z157)</f>
        <v>1385410</v>
      </c>
    </row>
    <row r="160" spans="1:26" ht="13.9" customHeight="1" x14ac:dyDescent="0.25">
      <c r="D160" s="41" t="s">
        <v>169</v>
      </c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2"/>
      <c r="S160" s="41"/>
      <c r="T160" s="42"/>
      <c r="U160" s="41"/>
      <c r="V160" s="42"/>
      <c r="W160" s="41"/>
      <c r="X160" s="42"/>
      <c r="Y160" s="41"/>
      <c r="Z160" s="41"/>
    </row>
    <row r="161" spans="1:26" ht="13.9" customHeight="1" x14ac:dyDescent="0.25">
      <c r="D161" s="21" t="s">
        <v>32</v>
      </c>
      <c r="E161" s="21" t="s">
        <v>33</v>
      </c>
      <c r="F161" s="21" t="s">
        <v>34</v>
      </c>
      <c r="G161" s="21" t="s">
        <v>1</v>
      </c>
      <c r="H161" s="21" t="s">
        <v>2</v>
      </c>
      <c r="I161" s="21" t="s">
        <v>3</v>
      </c>
      <c r="J161" s="21" t="s">
        <v>4</v>
      </c>
      <c r="K161" s="21" t="s">
        <v>5</v>
      </c>
      <c r="L161" s="21" t="s">
        <v>6</v>
      </c>
      <c r="M161" s="21" t="s">
        <v>7</v>
      </c>
      <c r="N161" s="21" t="s">
        <v>8</v>
      </c>
      <c r="O161" s="21" t="s">
        <v>9</v>
      </c>
      <c r="P161" s="21" t="s">
        <v>123</v>
      </c>
      <c r="Q161" s="21" t="s">
        <v>11</v>
      </c>
      <c r="R161" s="22" t="s">
        <v>12</v>
      </c>
      <c r="S161" s="21" t="s">
        <v>13</v>
      </c>
      <c r="T161" s="22" t="s">
        <v>14</v>
      </c>
      <c r="U161" s="21" t="s">
        <v>15</v>
      </c>
      <c r="V161" s="22" t="s">
        <v>16</v>
      </c>
      <c r="W161" s="21" t="s">
        <v>17</v>
      </c>
      <c r="X161" s="22" t="s">
        <v>18</v>
      </c>
      <c r="Y161" s="21" t="s">
        <v>19</v>
      </c>
      <c r="Z161" s="21" t="s">
        <v>20</v>
      </c>
    </row>
    <row r="162" spans="1:26" ht="13.9" hidden="1" customHeight="1" x14ac:dyDescent="0.25">
      <c r="A162" s="15">
        <v>2</v>
      </c>
      <c r="B162" s="15">
        <v>1</v>
      </c>
      <c r="D162" s="51" t="s">
        <v>170</v>
      </c>
      <c r="E162" s="24">
        <v>630</v>
      </c>
      <c r="F162" s="24" t="s">
        <v>171</v>
      </c>
      <c r="G162" s="46">
        <v>4581.01</v>
      </c>
      <c r="H162" s="46">
        <v>32424.78</v>
      </c>
      <c r="I162" s="46">
        <v>0</v>
      </c>
      <c r="J162" s="46">
        <f>2232+47794</f>
        <v>50026</v>
      </c>
      <c r="K162" s="46">
        <v>0</v>
      </c>
      <c r="L162" s="46"/>
      <c r="M162" s="46"/>
      <c r="N162" s="46"/>
      <c r="O162" s="46"/>
      <c r="P162" s="25">
        <f>K162+SUM(L162:O162)</f>
        <v>0</v>
      </c>
      <c r="Q162" s="46"/>
      <c r="R162" s="47">
        <f t="shared" ref="R162:R174" si="91">IFERROR(Q162/$P162,0)</f>
        <v>0</v>
      </c>
      <c r="S162" s="46"/>
      <c r="T162" s="47">
        <f t="shared" ref="T162:T174" si="92">IFERROR(S162/$P162,0)</f>
        <v>0</v>
      </c>
      <c r="U162" s="46"/>
      <c r="V162" s="47">
        <f t="shared" ref="V162:V174" si="93">IFERROR(U162/$P162,0)</f>
        <v>0</v>
      </c>
      <c r="W162" s="46"/>
      <c r="X162" s="47">
        <f t="shared" ref="X162:X174" si="94">IFERROR(W162/$P162,0)</f>
        <v>0</v>
      </c>
      <c r="Y162" s="25">
        <f>K162</f>
        <v>0</v>
      </c>
      <c r="Z162" s="25">
        <f>Y162</f>
        <v>0</v>
      </c>
    </row>
    <row r="163" spans="1:26" ht="13.9" customHeight="1" x14ac:dyDescent="0.25">
      <c r="D163" s="51" t="s">
        <v>172</v>
      </c>
      <c r="E163" s="24">
        <v>630</v>
      </c>
      <c r="F163" s="24" t="s">
        <v>133</v>
      </c>
      <c r="G163" s="46">
        <v>0</v>
      </c>
      <c r="H163" s="46">
        <v>0</v>
      </c>
      <c r="I163" s="46">
        <v>0</v>
      </c>
      <c r="J163" s="46">
        <v>0</v>
      </c>
      <c r="K163" s="46">
        <v>5500</v>
      </c>
      <c r="L163" s="46"/>
      <c r="M163" s="46"/>
      <c r="N163" s="46"/>
      <c r="O163" s="46"/>
      <c r="P163" s="25">
        <f>K163+SUM(L163:O163)</f>
        <v>5500</v>
      </c>
      <c r="Q163" s="46">
        <v>1153.2</v>
      </c>
      <c r="R163" s="47">
        <f t="shared" si="91"/>
        <v>0.20967272727272729</v>
      </c>
      <c r="S163" s="46"/>
      <c r="T163" s="47">
        <f t="shared" si="92"/>
        <v>0</v>
      </c>
      <c r="U163" s="46"/>
      <c r="V163" s="47">
        <f t="shared" si="93"/>
        <v>0</v>
      </c>
      <c r="W163" s="46"/>
      <c r="X163" s="47">
        <f t="shared" si="94"/>
        <v>0</v>
      </c>
      <c r="Y163" s="25">
        <f>K163</f>
        <v>5500</v>
      </c>
      <c r="Z163" s="25">
        <f>Y163</f>
        <v>5500</v>
      </c>
    </row>
    <row r="164" spans="1:26" ht="13.9" customHeight="1" x14ac:dyDescent="0.25">
      <c r="A164" s="15">
        <v>2</v>
      </c>
      <c r="B164" s="15">
        <v>1</v>
      </c>
      <c r="D164" s="51" t="s">
        <v>170</v>
      </c>
      <c r="E164" s="24" t="s">
        <v>49</v>
      </c>
      <c r="F164" s="24" t="s">
        <v>22</v>
      </c>
      <c r="G164" s="46">
        <v>642753.13</v>
      </c>
      <c r="H164" s="46">
        <v>766680.34</v>
      </c>
      <c r="I164" s="46">
        <v>780000</v>
      </c>
      <c r="J164" s="46">
        <v>856521</v>
      </c>
      <c r="K164" s="46">
        <v>1167089</v>
      </c>
      <c r="L164" s="46">
        <f>14952+27049</f>
        <v>42001</v>
      </c>
      <c r="M164" s="46"/>
      <c r="N164" s="46"/>
      <c r="O164" s="46"/>
      <c r="P164" s="25">
        <f>K164+SUM(L164:O164)</f>
        <v>1209090</v>
      </c>
      <c r="Q164" s="46">
        <v>196665.26</v>
      </c>
      <c r="R164" s="47">
        <f t="shared" si="91"/>
        <v>0.16265560049293271</v>
      </c>
      <c r="S164" s="46"/>
      <c r="T164" s="47">
        <f t="shared" si="92"/>
        <v>0</v>
      </c>
      <c r="U164" s="46"/>
      <c r="V164" s="47">
        <f t="shared" si="93"/>
        <v>0</v>
      </c>
      <c r="W164" s="46"/>
      <c r="X164" s="47">
        <f t="shared" si="94"/>
        <v>0</v>
      </c>
      <c r="Y164" s="25">
        <v>1105280</v>
      </c>
      <c r="Z164" s="25">
        <v>1111380</v>
      </c>
    </row>
    <row r="165" spans="1:26" ht="13.9" customHeight="1" x14ac:dyDescent="0.25">
      <c r="A165" s="15">
        <v>2</v>
      </c>
      <c r="B165" s="15">
        <v>1</v>
      </c>
      <c r="D165" s="79" t="s">
        <v>21</v>
      </c>
      <c r="E165" s="48" t="s">
        <v>173</v>
      </c>
      <c r="F165" s="48" t="s">
        <v>136</v>
      </c>
      <c r="G165" s="49">
        <f t="shared" ref="G165:Q165" si="95">SUM(G162:G164)</f>
        <v>647334.14</v>
      </c>
      <c r="H165" s="49">
        <f t="shared" si="95"/>
        <v>799105.12</v>
      </c>
      <c r="I165" s="49">
        <f t="shared" si="95"/>
        <v>780000</v>
      </c>
      <c r="J165" s="49">
        <f t="shared" si="95"/>
        <v>906547</v>
      </c>
      <c r="K165" s="49">
        <f t="shared" si="95"/>
        <v>1172589</v>
      </c>
      <c r="L165" s="49">
        <f t="shared" si="95"/>
        <v>42001</v>
      </c>
      <c r="M165" s="49">
        <f t="shared" si="95"/>
        <v>0</v>
      </c>
      <c r="N165" s="49">
        <f t="shared" si="95"/>
        <v>0</v>
      </c>
      <c r="O165" s="49">
        <f t="shared" si="95"/>
        <v>0</v>
      </c>
      <c r="P165" s="49">
        <f t="shared" si="95"/>
        <v>1214590</v>
      </c>
      <c r="Q165" s="49">
        <f t="shared" si="95"/>
        <v>197818.46000000002</v>
      </c>
      <c r="R165" s="50">
        <f t="shared" si="91"/>
        <v>0.16286850706822881</v>
      </c>
      <c r="S165" s="49">
        <f>SUM(S162:S164)</f>
        <v>0</v>
      </c>
      <c r="T165" s="50">
        <f t="shared" si="92"/>
        <v>0</v>
      </c>
      <c r="U165" s="49">
        <f>SUM(U162:U164)</f>
        <v>0</v>
      </c>
      <c r="V165" s="50">
        <f t="shared" si="93"/>
        <v>0</v>
      </c>
      <c r="W165" s="49">
        <f>SUM(W162:W164)</f>
        <v>0</v>
      </c>
      <c r="X165" s="50">
        <f t="shared" si="94"/>
        <v>0</v>
      </c>
      <c r="Y165" s="49">
        <f>SUM(Y162:Y164)</f>
        <v>1110780</v>
      </c>
      <c r="Z165" s="49">
        <f>SUM(Z162:Z164)</f>
        <v>1116880</v>
      </c>
    </row>
    <row r="166" spans="1:26" ht="13.9" customHeight="1" x14ac:dyDescent="0.25">
      <c r="A166" s="15">
        <v>2</v>
      </c>
      <c r="B166" s="15">
        <v>1</v>
      </c>
      <c r="D166" s="91" t="s">
        <v>172</v>
      </c>
      <c r="E166" s="48">
        <v>630</v>
      </c>
      <c r="F166" s="48" t="s">
        <v>133</v>
      </c>
      <c r="G166" s="25">
        <v>17602.3</v>
      </c>
      <c r="H166" s="25">
        <v>12250.49</v>
      </c>
      <c r="I166" s="25">
        <v>22894</v>
      </c>
      <c r="J166" s="25">
        <v>15888</v>
      </c>
      <c r="K166" s="25">
        <v>20723</v>
      </c>
      <c r="L166" s="49">
        <v>-698</v>
      </c>
      <c r="M166" s="49"/>
      <c r="N166" s="49"/>
      <c r="O166" s="49"/>
      <c r="P166" s="25">
        <f>K166+SUM(L166:O166)</f>
        <v>20025</v>
      </c>
      <c r="Q166" s="49">
        <v>148.47</v>
      </c>
      <c r="R166" s="47">
        <f t="shared" si="91"/>
        <v>7.4142322097378276E-3</v>
      </c>
      <c r="S166" s="49"/>
      <c r="T166" s="47">
        <f t="shared" si="92"/>
        <v>0</v>
      </c>
      <c r="U166" s="49"/>
      <c r="V166" s="47">
        <f t="shared" si="93"/>
        <v>0</v>
      </c>
      <c r="W166" s="49"/>
      <c r="X166" s="47">
        <f t="shared" si="94"/>
        <v>0</v>
      </c>
      <c r="Y166" s="25">
        <f>K166</f>
        <v>20723</v>
      </c>
      <c r="Z166" s="25">
        <f>Y166</f>
        <v>20723</v>
      </c>
    </row>
    <row r="167" spans="1:26" ht="13.9" customHeight="1" x14ac:dyDescent="0.25">
      <c r="A167" s="15">
        <v>2</v>
      </c>
      <c r="B167" s="15">
        <v>1</v>
      </c>
      <c r="D167" s="51" t="s">
        <v>174</v>
      </c>
      <c r="E167" s="24">
        <v>630</v>
      </c>
      <c r="F167" s="24" t="s">
        <v>133</v>
      </c>
      <c r="G167" s="25">
        <v>7682.49</v>
      </c>
      <c r="H167" s="25">
        <v>2309.44</v>
      </c>
      <c r="I167" s="25">
        <v>1982</v>
      </c>
      <c r="J167" s="25">
        <v>3407</v>
      </c>
      <c r="K167" s="25">
        <v>2032</v>
      </c>
      <c r="L167" s="25">
        <v>698</v>
      </c>
      <c r="M167" s="25"/>
      <c r="N167" s="25"/>
      <c r="O167" s="25"/>
      <c r="P167" s="25">
        <f>K167+SUM(L167:O167)</f>
        <v>2730</v>
      </c>
      <c r="Q167" s="25">
        <v>300</v>
      </c>
      <c r="R167" s="26">
        <f t="shared" si="91"/>
        <v>0.10989010989010989</v>
      </c>
      <c r="S167" s="25"/>
      <c r="T167" s="26">
        <f t="shared" si="92"/>
        <v>0</v>
      </c>
      <c r="U167" s="25"/>
      <c r="V167" s="26">
        <f t="shared" si="93"/>
        <v>0</v>
      </c>
      <c r="W167" s="25"/>
      <c r="X167" s="26">
        <f t="shared" si="94"/>
        <v>0</v>
      </c>
      <c r="Y167" s="25">
        <f>K167</f>
        <v>2032</v>
      </c>
      <c r="Z167" s="25">
        <f>Y167</f>
        <v>2032</v>
      </c>
    </row>
    <row r="168" spans="1:26" ht="13.9" hidden="1" customHeight="1" x14ac:dyDescent="0.25">
      <c r="A168" s="15">
        <v>2</v>
      </c>
      <c r="B168" s="15">
        <v>1</v>
      </c>
      <c r="D168" s="115" t="s">
        <v>175</v>
      </c>
      <c r="E168" s="24">
        <v>640</v>
      </c>
      <c r="F168" s="24" t="s">
        <v>134</v>
      </c>
      <c r="G168" s="25">
        <v>1624.18</v>
      </c>
      <c r="H168" s="25">
        <v>0</v>
      </c>
      <c r="I168" s="25">
        <v>0</v>
      </c>
      <c r="J168" s="25">
        <v>0</v>
      </c>
      <c r="K168" s="25">
        <v>0</v>
      </c>
      <c r="L168" s="25"/>
      <c r="M168" s="25"/>
      <c r="N168" s="25"/>
      <c r="O168" s="25"/>
      <c r="P168" s="25">
        <f>K168+SUM(L168:O168)</f>
        <v>0</v>
      </c>
      <c r="Q168" s="25"/>
      <c r="R168" s="26">
        <f t="shared" si="91"/>
        <v>0</v>
      </c>
      <c r="S168" s="25"/>
      <c r="T168" s="26">
        <f t="shared" si="92"/>
        <v>0</v>
      </c>
      <c r="U168" s="25"/>
      <c r="V168" s="26">
        <f t="shared" si="93"/>
        <v>0</v>
      </c>
      <c r="W168" s="25"/>
      <c r="X168" s="26">
        <f t="shared" si="94"/>
        <v>0</v>
      </c>
      <c r="Y168" s="25">
        <f>K168</f>
        <v>0</v>
      </c>
      <c r="Z168" s="25">
        <f>Y168</f>
        <v>0</v>
      </c>
    </row>
    <row r="169" spans="1:26" ht="13.9" customHeight="1" x14ac:dyDescent="0.25">
      <c r="A169" s="15">
        <v>2</v>
      </c>
      <c r="B169" s="15">
        <v>1</v>
      </c>
      <c r="D169" s="116" t="s">
        <v>176</v>
      </c>
      <c r="E169" s="24">
        <v>630</v>
      </c>
      <c r="F169" s="24" t="s">
        <v>133</v>
      </c>
      <c r="G169" s="25">
        <v>8909.4</v>
      </c>
      <c r="H169" s="25">
        <v>5300.67</v>
      </c>
      <c r="I169" s="25">
        <v>20286</v>
      </c>
      <c r="J169" s="25">
        <v>5548</v>
      </c>
      <c r="K169" s="25">
        <v>5500</v>
      </c>
      <c r="L169" s="25"/>
      <c r="M169" s="25"/>
      <c r="N169" s="25"/>
      <c r="O169" s="25"/>
      <c r="P169" s="25">
        <f>K169+SUM(L169:O169)</f>
        <v>5500</v>
      </c>
      <c r="Q169" s="25">
        <v>1696.19</v>
      </c>
      <c r="R169" s="26">
        <f t="shared" si="91"/>
        <v>0.30839818181818185</v>
      </c>
      <c r="S169" s="25"/>
      <c r="T169" s="26">
        <f t="shared" si="92"/>
        <v>0</v>
      </c>
      <c r="U169" s="25"/>
      <c r="V169" s="26">
        <f t="shared" si="93"/>
        <v>0</v>
      </c>
      <c r="W169" s="25"/>
      <c r="X169" s="26">
        <f t="shared" si="94"/>
        <v>0</v>
      </c>
      <c r="Y169" s="25">
        <f>K169</f>
        <v>5500</v>
      </c>
      <c r="Z169" s="25">
        <f>Y169</f>
        <v>5500</v>
      </c>
    </row>
    <row r="170" spans="1:26" ht="13.9" customHeight="1" x14ac:dyDescent="0.25">
      <c r="A170" s="15">
        <v>2</v>
      </c>
      <c r="B170" s="15">
        <v>1</v>
      </c>
      <c r="D170" s="117" t="s">
        <v>170</v>
      </c>
      <c r="E170" s="24" t="s">
        <v>49</v>
      </c>
      <c r="F170" s="24" t="s">
        <v>177</v>
      </c>
      <c r="G170" s="46">
        <v>300613.18</v>
      </c>
      <c r="H170" s="46">
        <v>303704.49</v>
      </c>
      <c r="I170" s="46">
        <v>353731</v>
      </c>
      <c r="J170" s="46">
        <v>407568</v>
      </c>
      <c r="K170" s="46">
        <v>133457</v>
      </c>
      <c r="L170" s="46"/>
      <c r="M170" s="46"/>
      <c r="N170" s="46"/>
      <c r="O170" s="46"/>
      <c r="P170" s="25">
        <f>K170+SUM(L170:O170)</f>
        <v>133457</v>
      </c>
      <c r="Q170" s="46">
        <v>20900.95</v>
      </c>
      <c r="R170" s="47">
        <f t="shared" si="91"/>
        <v>0.15661186749290035</v>
      </c>
      <c r="S170" s="46"/>
      <c r="T170" s="47">
        <f t="shared" si="92"/>
        <v>0</v>
      </c>
      <c r="U170" s="46"/>
      <c r="V170" s="47">
        <f t="shared" si="93"/>
        <v>0</v>
      </c>
      <c r="W170" s="46"/>
      <c r="X170" s="47">
        <f t="shared" si="94"/>
        <v>0</v>
      </c>
      <c r="Y170" s="25">
        <v>145046</v>
      </c>
      <c r="Z170" s="25">
        <v>147675</v>
      </c>
    </row>
    <row r="171" spans="1:26" ht="13.9" customHeight="1" x14ac:dyDescent="0.25">
      <c r="A171" s="15">
        <v>2</v>
      </c>
      <c r="B171" s="15">
        <v>1</v>
      </c>
      <c r="D171" s="79" t="s">
        <v>21</v>
      </c>
      <c r="E171" s="48">
        <v>41</v>
      </c>
      <c r="F171" s="48" t="s">
        <v>23</v>
      </c>
      <c r="G171" s="49">
        <f t="shared" ref="G171:Q171" si="96">SUM(G166:G170)</f>
        <v>336431.55</v>
      </c>
      <c r="H171" s="49">
        <f t="shared" si="96"/>
        <v>323565.08999999997</v>
      </c>
      <c r="I171" s="49">
        <f t="shared" si="96"/>
        <v>398893</v>
      </c>
      <c r="J171" s="49">
        <f t="shared" si="96"/>
        <v>432411</v>
      </c>
      <c r="K171" s="49">
        <f t="shared" si="96"/>
        <v>161712</v>
      </c>
      <c r="L171" s="49">
        <f t="shared" si="96"/>
        <v>0</v>
      </c>
      <c r="M171" s="49">
        <f t="shared" si="96"/>
        <v>0</v>
      </c>
      <c r="N171" s="49">
        <f t="shared" si="96"/>
        <v>0</v>
      </c>
      <c r="O171" s="49">
        <f t="shared" si="96"/>
        <v>0</v>
      </c>
      <c r="P171" s="49">
        <f t="shared" si="96"/>
        <v>161712</v>
      </c>
      <c r="Q171" s="49">
        <f t="shared" si="96"/>
        <v>23045.61</v>
      </c>
      <c r="R171" s="50">
        <f t="shared" si="91"/>
        <v>0.14251020332442862</v>
      </c>
      <c r="S171" s="49">
        <f>SUM(S166:S170)</f>
        <v>0</v>
      </c>
      <c r="T171" s="50">
        <f t="shared" si="92"/>
        <v>0</v>
      </c>
      <c r="U171" s="49">
        <f>SUM(U166:U170)</f>
        <v>0</v>
      </c>
      <c r="V171" s="50">
        <f t="shared" si="93"/>
        <v>0</v>
      </c>
      <c r="W171" s="49">
        <f>SUM(W166:W170)</f>
        <v>0</v>
      </c>
      <c r="X171" s="50">
        <f t="shared" si="94"/>
        <v>0</v>
      </c>
      <c r="Y171" s="49">
        <f>SUM(Y166:Y170)</f>
        <v>173301</v>
      </c>
      <c r="Z171" s="49">
        <f>SUM(Z166:Z170)</f>
        <v>175930</v>
      </c>
    </row>
    <row r="172" spans="1:26" ht="13.9" customHeight="1" x14ac:dyDescent="0.25">
      <c r="A172" s="15">
        <v>2</v>
      </c>
      <c r="B172" s="15">
        <v>1</v>
      </c>
      <c r="D172" s="51" t="s">
        <v>170</v>
      </c>
      <c r="E172" s="24" t="s">
        <v>49</v>
      </c>
      <c r="F172" s="24" t="s">
        <v>25</v>
      </c>
      <c r="G172" s="46">
        <v>71545.320000000007</v>
      </c>
      <c r="H172" s="46">
        <v>97546.64</v>
      </c>
      <c r="I172" s="46">
        <v>97900</v>
      </c>
      <c r="J172" s="46">
        <v>90145</v>
      </c>
      <c r="K172" s="46">
        <v>92100</v>
      </c>
      <c r="L172" s="46">
        <v>12910</v>
      </c>
      <c r="M172" s="46"/>
      <c r="N172" s="46"/>
      <c r="O172" s="46"/>
      <c r="P172" s="25">
        <f>K172+SUM(L172:O172)</f>
        <v>105010</v>
      </c>
      <c r="Q172" s="46">
        <v>11177.83</v>
      </c>
      <c r="R172" s="47">
        <f t="shared" si="91"/>
        <v>0.10644538615369965</v>
      </c>
      <c r="S172" s="46"/>
      <c r="T172" s="47">
        <f t="shared" si="92"/>
        <v>0</v>
      </c>
      <c r="U172" s="46"/>
      <c r="V172" s="47">
        <f t="shared" si="93"/>
        <v>0</v>
      </c>
      <c r="W172" s="46"/>
      <c r="X172" s="47">
        <f t="shared" si="94"/>
        <v>0</v>
      </c>
      <c r="Y172" s="25">
        <v>92600</v>
      </c>
      <c r="Z172" s="25">
        <f>Y172</f>
        <v>92600</v>
      </c>
    </row>
    <row r="173" spans="1:26" ht="13.9" customHeight="1" x14ac:dyDescent="0.25">
      <c r="A173" s="15">
        <v>2</v>
      </c>
      <c r="B173" s="15">
        <v>1</v>
      </c>
      <c r="D173" s="79" t="s">
        <v>21</v>
      </c>
      <c r="E173" s="48">
        <v>72</v>
      </c>
      <c r="F173" s="48" t="s">
        <v>25</v>
      </c>
      <c r="G173" s="49">
        <f t="shared" ref="G173:Q173" si="97">SUM(G172)</f>
        <v>71545.320000000007</v>
      </c>
      <c r="H173" s="49">
        <f t="shared" si="97"/>
        <v>97546.64</v>
      </c>
      <c r="I173" s="98">
        <f t="shared" si="97"/>
        <v>97900</v>
      </c>
      <c r="J173" s="49">
        <f t="shared" si="97"/>
        <v>90145</v>
      </c>
      <c r="K173" s="98">
        <f t="shared" si="97"/>
        <v>92100</v>
      </c>
      <c r="L173" s="49">
        <f t="shared" si="97"/>
        <v>12910</v>
      </c>
      <c r="M173" s="49">
        <f t="shared" si="97"/>
        <v>0</v>
      </c>
      <c r="N173" s="49">
        <f t="shared" si="97"/>
        <v>0</v>
      </c>
      <c r="O173" s="49">
        <f t="shared" si="97"/>
        <v>0</v>
      </c>
      <c r="P173" s="49">
        <f t="shared" si="97"/>
        <v>105010</v>
      </c>
      <c r="Q173" s="49">
        <f t="shared" si="97"/>
        <v>11177.83</v>
      </c>
      <c r="R173" s="50">
        <f t="shared" si="91"/>
        <v>0.10644538615369965</v>
      </c>
      <c r="S173" s="49">
        <f>SUM(S172)</f>
        <v>0</v>
      </c>
      <c r="T173" s="50">
        <f t="shared" si="92"/>
        <v>0</v>
      </c>
      <c r="U173" s="49">
        <f>SUM(U172)</f>
        <v>0</v>
      </c>
      <c r="V173" s="50">
        <f t="shared" si="93"/>
        <v>0</v>
      </c>
      <c r="W173" s="49">
        <f>SUM(W172)</f>
        <v>0</v>
      </c>
      <c r="X173" s="50">
        <f t="shared" si="94"/>
        <v>0</v>
      </c>
      <c r="Y173" s="49">
        <f>SUM(Y172)</f>
        <v>92600</v>
      </c>
      <c r="Z173" s="49">
        <f>SUM(Z172)</f>
        <v>92600</v>
      </c>
    </row>
    <row r="174" spans="1:26" ht="13.9" customHeight="1" x14ac:dyDescent="0.25">
      <c r="A174" s="15">
        <v>2</v>
      </c>
      <c r="B174" s="15">
        <v>1</v>
      </c>
      <c r="D174" s="30"/>
      <c r="E174" s="31"/>
      <c r="F174" s="27" t="s">
        <v>126</v>
      </c>
      <c r="G174" s="28">
        <f t="shared" ref="G174:Q174" si="98">G165+G171+G173</f>
        <v>1055311.01</v>
      </c>
      <c r="H174" s="28">
        <f t="shared" si="98"/>
        <v>1220216.8499999999</v>
      </c>
      <c r="I174" s="28">
        <f t="shared" si="98"/>
        <v>1276793</v>
      </c>
      <c r="J174" s="28">
        <f t="shared" si="98"/>
        <v>1429103</v>
      </c>
      <c r="K174" s="28">
        <f t="shared" si="98"/>
        <v>1426401</v>
      </c>
      <c r="L174" s="28">
        <f t="shared" si="98"/>
        <v>54911</v>
      </c>
      <c r="M174" s="28">
        <f t="shared" si="98"/>
        <v>0</v>
      </c>
      <c r="N174" s="28">
        <f t="shared" si="98"/>
        <v>0</v>
      </c>
      <c r="O174" s="28">
        <f t="shared" si="98"/>
        <v>0</v>
      </c>
      <c r="P174" s="28">
        <f t="shared" si="98"/>
        <v>1481312</v>
      </c>
      <c r="Q174" s="28">
        <f t="shared" si="98"/>
        <v>232041.9</v>
      </c>
      <c r="R174" s="29">
        <f t="shared" si="91"/>
        <v>0.15664620282560324</v>
      </c>
      <c r="S174" s="28">
        <f>S165+S171+S173</f>
        <v>0</v>
      </c>
      <c r="T174" s="29">
        <f t="shared" si="92"/>
        <v>0</v>
      </c>
      <c r="U174" s="28">
        <f>U165+U171+U173</f>
        <v>0</v>
      </c>
      <c r="V174" s="29">
        <f t="shared" si="93"/>
        <v>0</v>
      </c>
      <c r="W174" s="28">
        <f>W165+W171+W173</f>
        <v>0</v>
      </c>
      <c r="X174" s="29">
        <f t="shared" si="94"/>
        <v>0</v>
      </c>
      <c r="Y174" s="28">
        <f>Y165+Y171+Y173</f>
        <v>1376681</v>
      </c>
      <c r="Z174" s="28">
        <f>Z165+Z171+Z173</f>
        <v>1385410</v>
      </c>
    </row>
    <row r="176" spans="1:26" ht="13.9" customHeight="1" x14ac:dyDescent="0.25">
      <c r="E176" s="52" t="s">
        <v>55</v>
      </c>
      <c r="F176" s="30" t="s">
        <v>178</v>
      </c>
      <c r="G176" s="53">
        <v>1228.8599999999999</v>
      </c>
      <c r="H176" s="53">
        <v>2601.7399999999998</v>
      </c>
      <c r="I176" s="118">
        <v>2671</v>
      </c>
      <c r="J176" s="53">
        <v>864</v>
      </c>
      <c r="K176" s="118">
        <v>1085</v>
      </c>
      <c r="L176" s="53"/>
      <c r="M176" s="53"/>
      <c r="N176" s="53"/>
      <c r="O176" s="53"/>
      <c r="P176" s="53">
        <f t="shared" ref="P176:P183" si="99">K176+SUM(L176:O176)</f>
        <v>1085</v>
      </c>
      <c r="Q176" s="53">
        <v>244.2</v>
      </c>
      <c r="R176" s="54">
        <f t="shared" ref="R176:R183" si="100">IFERROR(Q176/$P176,0)</f>
        <v>0.22506912442396312</v>
      </c>
      <c r="S176" s="53"/>
      <c r="T176" s="54">
        <f t="shared" ref="T176:T183" si="101">IFERROR(S176/$P176,0)</f>
        <v>0</v>
      </c>
      <c r="U176" s="53"/>
      <c r="V176" s="54">
        <f t="shared" ref="V176:V183" si="102">IFERROR(U176/$P176,0)</f>
        <v>0</v>
      </c>
      <c r="W176" s="53"/>
      <c r="X176" s="55">
        <f t="shared" ref="X176:X183" si="103">IFERROR(W176/$P176,0)</f>
        <v>0</v>
      </c>
      <c r="Y176" s="53">
        <f>K176</f>
        <v>1085</v>
      </c>
      <c r="Z176" s="56">
        <f t="shared" ref="Z176:Z183" si="104">Y176</f>
        <v>1085</v>
      </c>
    </row>
    <row r="177" spans="1:26" ht="13.9" customHeight="1" x14ac:dyDescent="0.25">
      <c r="E177" s="57"/>
      <c r="F177" s="92" t="s">
        <v>179</v>
      </c>
      <c r="G177" s="95">
        <v>5873.63</v>
      </c>
      <c r="H177" s="95">
        <v>15154.23</v>
      </c>
      <c r="I177" s="93">
        <v>15154</v>
      </c>
      <c r="J177" s="95">
        <v>4794</v>
      </c>
      <c r="K177" s="93">
        <v>4795</v>
      </c>
      <c r="L177" s="95"/>
      <c r="M177" s="95"/>
      <c r="N177" s="95"/>
      <c r="O177" s="95"/>
      <c r="P177" s="95">
        <f t="shared" si="99"/>
        <v>4795</v>
      </c>
      <c r="Q177" s="95">
        <v>909</v>
      </c>
      <c r="R177" s="96">
        <f t="shared" si="100"/>
        <v>0.18957247132429614</v>
      </c>
      <c r="S177" s="95"/>
      <c r="T177" s="96">
        <f t="shared" si="101"/>
        <v>0</v>
      </c>
      <c r="U177" s="95"/>
      <c r="V177" s="96">
        <f t="shared" si="102"/>
        <v>0</v>
      </c>
      <c r="W177" s="95"/>
      <c r="X177" s="60">
        <f t="shared" si="103"/>
        <v>0</v>
      </c>
      <c r="Y177" s="95">
        <f>K177</f>
        <v>4795</v>
      </c>
      <c r="Z177" s="61">
        <f t="shared" si="104"/>
        <v>4795</v>
      </c>
    </row>
    <row r="178" spans="1:26" ht="13.9" customHeight="1" x14ac:dyDescent="0.25">
      <c r="E178" s="57"/>
      <c r="F178" s="92" t="s">
        <v>180</v>
      </c>
      <c r="G178" s="95">
        <v>6951.59</v>
      </c>
      <c r="H178" s="95">
        <v>14844.64</v>
      </c>
      <c r="I178" s="93">
        <v>15235</v>
      </c>
      <c r="J178" s="95">
        <v>3950</v>
      </c>
      <c r="K178" s="93">
        <v>4000</v>
      </c>
      <c r="L178" s="95"/>
      <c r="M178" s="95"/>
      <c r="N178" s="95"/>
      <c r="O178" s="95"/>
      <c r="P178" s="95">
        <f t="shared" si="99"/>
        <v>4000</v>
      </c>
      <c r="Q178" s="95">
        <v>1393.19</v>
      </c>
      <c r="R178" s="96">
        <f t="shared" si="100"/>
        <v>0.34829750000000004</v>
      </c>
      <c r="S178" s="95"/>
      <c r="T178" s="96">
        <f t="shared" si="101"/>
        <v>0</v>
      </c>
      <c r="U178" s="95"/>
      <c r="V178" s="96">
        <f t="shared" si="102"/>
        <v>0</v>
      </c>
      <c r="W178" s="95"/>
      <c r="X178" s="60">
        <f t="shared" si="103"/>
        <v>0</v>
      </c>
      <c r="Y178" s="95">
        <f>K178</f>
        <v>4000</v>
      </c>
      <c r="Z178" s="61">
        <f t="shared" si="104"/>
        <v>4000</v>
      </c>
    </row>
    <row r="179" spans="1:26" ht="13.9" customHeight="1" x14ac:dyDescent="0.25">
      <c r="E179" s="57"/>
      <c r="F179" s="92" t="s">
        <v>181</v>
      </c>
      <c r="G179" s="93">
        <v>1957.81</v>
      </c>
      <c r="H179" s="93">
        <v>5051.57</v>
      </c>
      <c r="I179" s="93">
        <v>5051</v>
      </c>
      <c r="J179" s="93">
        <v>1598</v>
      </c>
      <c r="K179" s="93">
        <v>1500</v>
      </c>
      <c r="L179" s="93"/>
      <c r="M179" s="93"/>
      <c r="N179" s="93"/>
      <c r="O179" s="93"/>
      <c r="P179" s="93">
        <f t="shared" si="99"/>
        <v>1500</v>
      </c>
      <c r="Q179" s="93">
        <v>303</v>
      </c>
      <c r="R179" s="94">
        <f t="shared" si="100"/>
        <v>0.20200000000000001</v>
      </c>
      <c r="S179" s="93"/>
      <c r="T179" s="94">
        <f t="shared" si="101"/>
        <v>0</v>
      </c>
      <c r="U179" s="93"/>
      <c r="V179" s="94">
        <f t="shared" si="102"/>
        <v>0</v>
      </c>
      <c r="W179" s="93"/>
      <c r="X179" s="64">
        <f t="shared" si="103"/>
        <v>0</v>
      </c>
      <c r="Y179" s="95">
        <f>K179</f>
        <v>1500</v>
      </c>
      <c r="Z179" s="61">
        <f t="shared" si="104"/>
        <v>1500</v>
      </c>
    </row>
    <row r="180" spans="1:26" ht="13.9" customHeight="1" x14ac:dyDescent="0.25">
      <c r="E180" s="57"/>
      <c r="F180" s="92" t="s">
        <v>182</v>
      </c>
      <c r="G180" s="93"/>
      <c r="H180" s="93"/>
      <c r="I180" s="93"/>
      <c r="J180" s="93">
        <v>3600</v>
      </c>
      <c r="K180" s="93">
        <v>17000</v>
      </c>
      <c r="L180" s="93"/>
      <c r="M180" s="93"/>
      <c r="N180" s="93"/>
      <c r="O180" s="93"/>
      <c r="P180" s="93">
        <f t="shared" si="99"/>
        <v>17000</v>
      </c>
      <c r="Q180" s="93">
        <v>0</v>
      </c>
      <c r="R180" s="94">
        <f t="shared" si="100"/>
        <v>0</v>
      </c>
      <c r="S180" s="93"/>
      <c r="T180" s="94">
        <f t="shared" si="101"/>
        <v>0</v>
      </c>
      <c r="U180" s="93"/>
      <c r="V180" s="94">
        <f t="shared" si="102"/>
        <v>0</v>
      </c>
      <c r="W180" s="93"/>
      <c r="X180" s="64">
        <f t="shared" si="103"/>
        <v>0</v>
      </c>
      <c r="Y180" s="95">
        <v>0</v>
      </c>
      <c r="Z180" s="61">
        <f t="shared" si="104"/>
        <v>0</v>
      </c>
    </row>
    <row r="181" spans="1:26" ht="13.9" customHeight="1" x14ac:dyDescent="0.25">
      <c r="E181" s="100"/>
      <c r="F181" s="119" t="s">
        <v>183</v>
      </c>
      <c r="G181" s="102">
        <v>5180</v>
      </c>
      <c r="H181" s="102">
        <v>1080</v>
      </c>
      <c r="I181" s="102">
        <v>750</v>
      </c>
      <c r="J181" s="102">
        <v>1580</v>
      </c>
      <c r="K181" s="102">
        <v>1200</v>
      </c>
      <c r="L181" s="102"/>
      <c r="M181" s="102"/>
      <c r="N181" s="102"/>
      <c r="O181" s="102"/>
      <c r="P181" s="102">
        <f t="shared" si="99"/>
        <v>1200</v>
      </c>
      <c r="Q181" s="102">
        <v>300</v>
      </c>
      <c r="R181" s="103">
        <f t="shared" si="100"/>
        <v>0.25</v>
      </c>
      <c r="S181" s="102"/>
      <c r="T181" s="103">
        <f t="shared" si="101"/>
        <v>0</v>
      </c>
      <c r="U181" s="102"/>
      <c r="V181" s="103">
        <f t="shared" si="102"/>
        <v>0</v>
      </c>
      <c r="W181" s="102"/>
      <c r="X181" s="104">
        <f t="shared" si="103"/>
        <v>0</v>
      </c>
      <c r="Y181" s="95">
        <f>K181</f>
        <v>1200</v>
      </c>
      <c r="Z181" s="61">
        <f t="shared" si="104"/>
        <v>1200</v>
      </c>
    </row>
    <row r="182" spans="1:26" ht="13.9" hidden="1" customHeight="1" x14ac:dyDescent="0.25">
      <c r="E182" s="57"/>
      <c r="F182" s="92" t="s">
        <v>184</v>
      </c>
      <c r="G182" s="93"/>
      <c r="H182" s="93"/>
      <c r="I182" s="93"/>
      <c r="J182" s="93">
        <v>47794</v>
      </c>
      <c r="K182" s="93">
        <v>0</v>
      </c>
      <c r="L182" s="93"/>
      <c r="M182" s="93"/>
      <c r="N182" s="93"/>
      <c r="O182" s="93"/>
      <c r="P182" s="93">
        <f t="shared" si="99"/>
        <v>0</v>
      </c>
      <c r="Q182" s="93"/>
      <c r="R182" s="94">
        <f t="shared" si="100"/>
        <v>0</v>
      </c>
      <c r="S182" s="93"/>
      <c r="T182" s="94">
        <f t="shared" si="101"/>
        <v>0</v>
      </c>
      <c r="U182" s="93"/>
      <c r="V182" s="94">
        <f t="shared" si="102"/>
        <v>0</v>
      </c>
      <c r="W182" s="93"/>
      <c r="X182" s="64">
        <f t="shared" si="103"/>
        <v>0</v>
      </c>
      <c r="Y182" s="95">
        <f>K182</f>
        <v>0</v>
      </c>
      <c r="Z182" s="61">
        <f t="shared" si="104"/>
        <v>0</v>
      </c>
    </row>
    <row r="183" spans="1:26" ht="13.9" hidden="1" customHeight="1" x14ac:dyDescent="0.25">
      <c r="E183" s="65"/>
      <c r="F183" s="97" t="s">
        <v>185</v>
      </c>
      <c r="G183" s="120">
        <v>1624.18</v>
      </c>
      <c r="H183" s="120">
        <v>0</v>
      </c>
      <c r="I183" s="120">
        <v>0</v>
      </c>
      <c r="J183" s="120">
        <v>0</v>
      </c>
      <c r="K183" s="120">
        <v>0</v>
      </c>
      <c r="L183" s="120"/>
      <c r="M183" s="120"/>
      <c r="N183" s="120"/>
      <c r="O183" s="120"/>
      <c r="P183" s="120">
        <f t="shared" si="99"/>
        <v>0</v>
      </c>
      <c r="Q183" s="120"/>
      <c r="R183" s="121">
        <f t="shared" si="100"/>
        <v>0</v>
      </c>
      <c r="S183" s="120"/>
      <c r="T183" s="121">
        <f t="shared" si="101"/>
        <v>0</v>
      </c>
      <c r="U183" s="120"/>
      <c r="V183" s="121">
        <f t="shared" si="102"/>
        <v>0</v>
      </c>
      <c r="W183" s="120"/>
      <c r="X183" s="122">
        <f t="shared" si="103"/>
        <v>0</v>
      </c>
      <c r="Y183" s="67">
        <f>K183</f>
        <v>0</v>
      </c>
      <c r="Z183" s="70">
        <f t="shared" si="104"/>
        <v>0</v>
      </c>
    </row>
    <row r="185" spans="1:26" ht="13.9" customHeight="1" x14ac:dyDescent="0.25">
      <c r="D185" s="32" t="s">
        <v>186</v>
      </c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3"/>
      <c r="S185" s="32"/>
      <c r="T185" s="33"/>
      <c r="U185" s="32"/>
      <c r="V185" s="33"/>
      <c r="W185" s="32"/>
      <c r="X185" s="33"/>
      <c r="Y185" s="32"/>
      <c r="Z185" s="32"/>
    </row>
    <row r="186" spans="1:26" ht="13.9" customHeight="1" x14ac:dyDescent="0.25">
      <c r="D186" s="20"/>
      <c r="E186" s="20"/>
      <c r="F186" s="20"/>
      <c r="G186" s="21" t="s">
        <v>1</v>
      </c>
      <c r="H186" s="21" t="s">
        <v>2</v>
      </c>
      <c r="I186" s="21" t="s">
        <v>3</v>
      </c>
      <c r="J186" s="21" t="s">
        <v>4</v>
      </c>
      <c r="K186" s="21" t="s">
        <v>5</v>
      </c>
      <c r="L186" s="21" t="s">
        <v>6</v>
      </c>
      <c r="M186" s="21" t="s">
        <v>7</v>
      </c>
      <c r="N186" s="21" t="s">
        <v>8</v>
      </c>
      <c r="O186" s="21" t="s">
        <v>9</v>
      </c>
      <c r="P186" s="21" t="s">
        <v>123</v>
      </c>
      <c r="Q186" s="21" t="s">
        <v>11</v>
      </c>
      <c r="R186" s="22" t="s">
        <v>12</v>
      </c>
      <c r="S186" s="21" t="s">
        <v>13</v>
      </c>
      <c r="T186" s="22" t="s">
        <v>14</v>
      </c>
      <c r="U186" s="21" t="s">
        <v>15</v>
      </c>
      <c r="V186" s="22" t="s">
        <v>16</v>
      </c>
      <c r="W186" s="21" t="s">
        <v>17</v>
      </c>
      <c r="X186" s="22" t="s">
        <v>18</v>
      </c>
      <c r="Y186" s="21" t="s">
        <v>19</v>
      </c>
      <c r="Z186" s="21" t="s">
        <v>20</v>
      </c>
    </row>
    <row r="187" spans="1:26" ht="13.9" customHeight="1" x14ac:dyDescent="0.25">
      <c r="A187" s="15">
        <v>3</v>
      </c>
      <c r="D187" s="12" t="s">
        <v>21</v>
      </c>
      <c r="E187" s="35">
        <v>111</v>
      </c>
      <c r="F187" s="35" t="s">
        <v>45</v>
      </c>
      <c r="G187" s="36">
        <f t="shared" ref="G187:Q187" si="105">G195</f>
        <v>0</v>
      </c>
      <c r="H187" s="36">
        <f t="shared" si="105"/>
        <v>659.52</v>
      </c>
      <c r="I187" s="36">
        <f t="shared" si="105"/>
        <v>0</v>
      </c>
      <c r="J187" s="36">
        <f t="shared" si="105"/>
        <v>0</v>
      </c>
      <c r="K187" s="36">
        <f t="shared" si="105"/>
        <v>0</v>
      </c>
      <c r="L187" s="36">
        <f t="shared" si="105"/>
        <v>0</v>
      </c>
      <c r="M187" s="36">
        <f t="shared" si="105"/>
        <v>0</v>
      </c>
      <c r="N187" s="36">
        <f t="shared" si="105"/>
        <v>0</v>
      </c>
      <c r="O187" s="36">
        <f t="shared" si="105"/>
        <v>0</v>
      </c>
      <c r="P187" s="36">
        <f t="shared" si="105"/>
        <v>0</v>
      </c>
      <c r="Q187" s="36">
        <f t="shared" si="105"/>
        <v>0</v>
      </c>
      <c r="R187" s="37">
        <f>IFERROR(Q187/$P187,0)</f>
        <v>0</v>
      </c>
      <c r="S187" s="36">
        <f>S195</f>
        <v>0</v>
      </c>
      <c r="T187" s="37">
        <f>IFERROR(S187/$P187,0)</f>
        <v>0</v>
      </c>
      <c r="U187" s="36">
        <f>U195</f>
        <v>0</v>
      </c>
      <c r="V187" s="37">
        <f>IFERROR(U187/$P187,0)</f>
        <v>0</v>
      </c>
      <c r="W187" s="36">
        <f>W195</f>
        <v>0</v>
      </c>
      <c r="X187" s="37">
        <f>IFERROR(W187/$P187,0)</f>
        <v>0</v>
      </c>
      <c r="Y187" s="36">
        <f>Y195</f>
        <v>0</v>
      </c>
      <c r="Z187" s="36">
        <f>Z195</f>
        <v>0</v>
      </c>
    </row>
    <row r="188" spans="1:26" ht="13.9" customHeight="1" x14ac:dyDescent="0.25">
      <c r="A188" s="15">
        <v>3</v>
      </c>
      <c r="D188" s="12" t="s">
        <v>21</v>
      </c>
      <c r="E188" s="35">
        <v>41</v>
      </c>
      <c r="F188" s="35" t="s">
        <v>23</v>
      </c>
      <c r="G188" s="36">
        <f t="shared" ref="G188:Q188" si="106">G200</f>
        <v>38948.019999999997</v>
      </c>
      <c r="H188" s="36">
        <f t="shared" si="106"/>
        <v>35654.6</v>
      </c>
      <c r="I188" s="36">
        <f t="shared" si="106"/>
        <v>40946</v>
      </c>
      <c r="J188" s="36">
        <f t="shared" si="106"/>
        <v>41194</v>
      </c>
      <c r="K188" s="36">
        <f t="shared" si="106"/>
        <v>38245</v>
      </c>
      <c r="L188" s="36">
        <f t="shared" si="106"/>
        <v>0</v>
      </c>
      <c r="M188" s="36">
        <f t="shared" si="106"/>
        <v>0</v>
      </c>
      <c r="N188" s="36">
        <f t="shared" si="106"/>
        <v>0</v>
      </c>
      <c r="O188" s="36">
        <f t="shared" si="106"/>
        <v>0</v>
      </c>
      <c r="P188" s="36">
        <f t="shared" si="106"/>
        <v>38245</v>
      </c>
      <c r="Q188" s="36">
        <f t="shared" si="106"/>
        <v>10298.5</v>
      </c>
      <c r="R188" s="37">
        <f>IFERROR(Q188/$P188,0)</f>
        <v>0.26927702967708195</v>
      </c>
      <c r="S188" s="36">
        <f>S200</f>
        <v>0</v>
      </c>
      <c r="T188" s="37">
        <f>IFERROR(S188/$P188,0)</f>
        <v>0</v>
      </c>
      <c r="U188" s="36">
        <f>U200</f>
        <v>0</v>
      </c>
      <c r="V188" s="37">
        <f>IFERROR(U188/$P188,0)</f>
        <v>0</v>
      </c>
      <c r="W188" s="36">
        <f>W200</f>
        <v>0</v>
      </c>
      <c r="X188" s="37">
        <f>IFERROR(W188/$P188,0)</f>
        <v>0</v>
      </c>
      <c r="Y188" s="36">
        <f>Y200</f>
        <v>38116</v>
      </c>
      <c r="Z188" s="36">
        <f>Z200</f>
        <v>39126</v>
      </c>
    </row>
    <row r="189" spans="1:26" ht="13.9" customHeight="1" x14ac:dyDescent="0.25">
      <c r="A189" s="15">
        <v>3</v>
      </c>
      <c r="D189" s="12" t="s">
        <v>21</v>
      </c>
      <c r="E189" s="35">
        <v>72</v>
      </c>
      <c r="F189" s="35" t="s">
        <v>25</v>
      </c>
      <c r="G189" s="36">
        <f t="shared" ref="G189:Q189" si="107">G202</f>
        <v>174.69</v>
      </c>
      <c r="H189" s="36">
        <f t="shared" si="107"/>
        <v>171.89</v>
      </c>
      <c r="I189" s="36">
        <f t="shared" si="107"/>
        <v>155</v>
      </c>
      <c r="J189" s="36">
        <f t="shared" si="107"/>
        <v>164</v>
      </c>
      <c r="K189" s="36">
        <f t="shared" si="107"/>
        <v>179</v>
      </c>
      <c r="L189" s="36">
        <f t="shared" si="107"/>
        <v>0</v>
      </c>
      <c r="M189" s="36">
        <f t="shared" si="107"/>
        <v>0</v>
      </c>
      <c r="N189" s="36">
        <f t="shared" si="107"/>
        <v>0</v>
      </c>
      <c r="O189" s="36">
        <f t="shared" si="107"/>
        <v>0</v>
      </c>
      <c r="P189" s="36">
        <f t="shared" si="107"/>
        <v>179</v>
      </c>
      <c r="Q189" s="36">
        <f t="shared" si="107"/>
        <v>0</v>
      </c>
      <c r="R189" s="37">
        <f>IFERROR(Q189/$P189,0)</f>
        <v>0</v>
      </c>
      <c r="S189" s="36">
        <f>S202</f>
        <v>0</v>
      </c>
      <c r="T189" s="37">
        <f>IFERROR(S189/$P189,0)</f>
        <v>0</v>
      </c>
      <c r="U189" s="36">
        <f>U202</f>
        <v>0</v>
      </c>
      <c r="V189" s="37">
        <f>IFERROR(U189/$P189,0)</f>
        <v>0</v>
      </c>
      <c r="W189" s="36">
        <f>W202</f>
        <v>0</v>
      </c>
      <c r="X189" s="37">
        <f>IFERROR(W189/$P189,0)</f>
        <v>0</v>
      </c>
      <c r="Y189" s="36">
        <f>Y202</f>
        <v>179</v>
      </c>
      <c r="Z189" s="36">
        <f>Z202</f>
        <v>179</v>
      </c>
    </row>
    <row r="190" spans="1:26" ht="13.9" customHeight="1" x14ac:dyDescent="0.25">
      <c r="A190" s="15">
        <v>3</v>
      </c>
      <c r="D190" s="30"/>
      <c r="E190" s="31"/>
      <c r="F190" s="38" t="s">
        <v>126</v>
      </c>
      <c r="G190" s="39">
        <f t="shared" ref="G190:Q190" si="108">SUM(G187:G189)</f>
        <v>39122.71</v>
      </c>
      <c r="H190" s="39">
        <f t="shared" si="108"/>
        <v>36486.009999999995</v>
      </c>
      <c r="I190" s="39">
        <f t="shared" si="108"/>
        <v>41101</v>
      </c>
      <c r="J190" s="39">
        <f t="shared" si="108"/>
        <v>41358</v>
      </c>
      <c r="K190" s="39">
        <f t="shared" si="108"/>
        <v>38424</v>
      </c>
      <c r="L190" s="39">
        <f t="shared" si="108"/>
        <v>0</v>
      </c>
      <c r="M190" s="39">
        <f t="shared" si="108"/>
        <v>0</v>
      </c>
      <c r="N190" s="39">
        <f t="shared" si="108"/>
        <v>0</v>
      </c>
      <c r="O190" s="39">
        <f t="shared" si="108"/>
        <v>0</v>
      </c>
      <c r="P190" s="39">
        <f t="shared" si="108"/>
        <v>38424</v>
      </c>
      <c r="Q190" s="39">
        <f t="shared" si="108"/>
        <v>10298.5</v>
      </c>
      <c r="R190" s="40">
        <f>IFERROR(Q190/$P190,0)</f>
        <v>0.26802259004788676</v>
      </c>
      <c r="S190" s="39">
        <f>SUM(S187:S189)</f>
        <v>0</v>
      </c>
      <c r="T190" s="40">
        <f>IFERROR(S190/$P190,0)</f>
        <v>0</v>
      </c>
      <c r="U190" s="39">
        <f>SUM(U187:U189)</f>
        <v>0</v>
      </c>
      <c r="V190" s="40">
        <f>IFERROR(U190/$P190,0)</f>
        <v>0</v>
      </c>
      <c r="W190" s="39">
        <f>SUM(W187:W189)</f>
        <v>0</v>
      </c>
      <c r="X190" s="40">
        <f>IFERROR(W190/$P190,0)</f>
        <v>0</v>
      </c>
      <c r="Y190" s="39">
        <f>SUM(Y187:Y189)</f>
        <v>38295</v>
      </c>
      <c r="Z190" s="39">
        <f>SUM(Z187:Z189)</f>
        <v>39305</v>
      </c>
    </row>
    <row r="192" spans="1:26" ht="13.9" customHeight="1" x14ac:dyDescent="0.25">
      <c r="D192" s="73" t="s">
        <v>187</v>
      </c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4"/>
      <c r="S192" s="73"/>
      <c r="T192" s="74"/>
      <c r="U192" s="73"/>
      <c r="V192" s="74"/>
      <c r="W192" s="73"/>
      <c r="X192" s="74"/>
      <c r="Y192" s="73"/>
      <c r="Z192" s="73"/>
    </row>
    <row r="193" spans="1:26" ht="13.9" customHeight="1" x14ac:dyDescent="0.25">
      <c r="D193" s="21" t="s">
        <v>32</v>
      </c>
      <c r="E193" s="21" t="s">
        <v>33</v>
      </c>
      <c r="F193" s="21" t="s">
        <v>34</v>
      </c>
      <c r="G193" s="21" t="s">
        <v>1</v>
      </c>
      <c r="H193" s="21" t="s">
        <v>2</v>
      </c>
      <c r="I193" s="21" t="s">
        <v>3</v>
      </c>
      <c r="J193" s="21" t="s">
        <v>4</v>
      </c>
      <c r="K193" s="21" t="s">
        <v>5</v>
      </c>
      <c r="L193" s="21" t="s">
        <v>6</v>
      </c>
      <c r="M193" s="21" t="s">
        <v>7</v>
      </c>
      <c r="N193" s="21" t="s">
        <v>8</v>
      </c>
      <c r="O193" s="21" t="s">
        <v>9</v>
      </c>
      <c r="P193" s="21" t="s">
        <v>123</v>
      </c>
      <c r="Q193" s="21" t="s">
        <v>11</v>
      </c>
      <c r="R193" s="22" t="s">
        <v>12</v>
      </c>
      <c r="S193" s="21" t="s">
        <v>13</v>
      </c>
      <c r="T193" s="22" t="s">
        <v>14</v>
      </c>
      <c r="U193" s="21" t="s">
        <v>15</v>
      </c>
      <c r="V193" s="22" t="s">
        <v>16</v>
      </c>
      <c r="W193" s="21" t="s">
        <v>17</v>
      </c>
      <c r="X193" s="22" t="s">
        <v>18</v>
      </c>
      <c r="Y193" s="21" t="s">
        <v>19</v>
      </c>
      <c r="Z193" s="21" t="s">
        <v>20</v>
      </c>
    </row>
    <row r="194" spans="1:26" ht="13.9" hidden="1" customHeight="1" x14ac:dyDescent="0.25">
      <c r="A194" s="15">
        <v>3</v>
      </c>
      <c r="B194" s="15">
        <v>1</v>
      </c>
      <c r="D194" s="51" t="s">
        <v>188</v>
      </c>
      <c r="E194" s="24">
        <v>630</v>
      </c>
      <c r="F194" s="24" t="s">
        <v>133</v>
      </c>
      <c r="G194" s="46">
        <v>0</v>
      </c>
      <c r="H194" s="46">
        <v>659.52</v>
      </c>
      <c r="I194" s="25">
        <v>0</v>
      </c>
      <c r="J194" s="25">
        <v>0</v>
      </c>
      <c r="K194" s="25">
        <v>0</v>
      </c>
      <c r="L194" s="25"/>
      <c r="M194" s="25"/>
      <c r="N194" s="25"/>
      <c r="O194" s="25"/>
      <c r="P194" s="46">
        <f>K194+SUM(L194:O194)</f>
        <v>0</v>
      </c>
      <c r="Q194" s="46"/>
      <c r="R194" s="47">
        <f t="shared" ref="R194:R203" si="109">IFERROR(Q194/$P194,0)</f>
        <v>0</v>
      </c>
      <c r="S194" s="46"/>
      <c r="T194" s="47">
        <f t="shared" ref="T194:T203" si="110">IFERROR(S194/$P194,0)</f>
        <v>0</v>
      </c>
      <c r="U194" s="46"/>
      <c r="V194" s="47">
        <f t="shared" ref="V194:V203" si="111">IFERROR(U194/$P194,0)</f>
        <v>0</v>
      </c>
      <c r="W194" s="46"/>
      <c r="X194" s="47">
        <f t="shared" ref="X194:X203" si="112">IFERROR(W194/$P194,0)</f>
        <v>0</v>
      </c>
      <c r="Y194" s="25">
        <f>K194</f>
        <v>0</v>
      </c>
      <c r="Z194" s="25">
        <f>Y194</f>
        <v>0</v>
      </c>
    </row>
    <row r="195" spans="1:26" ht="13.9" hidden="1" customHeight="1" x14ac:dyDescent="0.25">
      <c r="A195" s="15">
        <v>3</v>
      </c>
      <c r="B195" s="15">
        <v>1</v>
      </c>
      <c r="D195" s="79" t="s">
        <v>21</v>
      </c>
      <c r="E195" s="48">
        <v>111</v>
      </c>
      <c r="F195" s="48" t="s">
        <v>23</v>
      </c>
      <c r="G195" s="49">
        <f t="shared" ref="G195:Q195" si="113">SUM(G194)</f>
        <v>0</v>
      </c>
      <c r="H195" s="49">
        <f t="shared" si="113"/>
        <v>659.52</v>
      </c>
      <c r="I195" s="49">
        <f t="shared" si="113"/>
        <v>0</v>
      </c>
      <c r="J195" s="49">
        <f t="shared" si="113"/>
        <v>0</v>
      </c>
      <c r="K195" s="49">
        <f t="shared" si="113"/>
        <v>0</v>
      </c>
      <c r="L195" s="49">
        <f t="shared" si="113"/>
        <v>0</v>
      </c>
      <c r="M195" s="49">
        <f t="shared" si="113"/>
        <v>0</v>
      </c>
      <c r="N195" s="49">
        <f t="shared" si="113"/>
        <v>0</v>
      </c>
      <c r="O195" s="49">
        <f t="shared" si="113"/>
        <v>0</v>
      </c>
      <c r="P195" s="49">
        <f t="shared" si="113"/>
        <v>0</v>
      </c>
      <c r="Q195" s="49">
        <f t="shared" si="113"/>
        <v>0</v>
      </c>
      <c r="R195" s="50">
        <f t="shared" si="109"/>
        <v>0</v>
      </c>
      <c r="S195" s="49">
        <f>SUM(S194)</f>
        <v>0</v>
      </c>
      <c r="T195" s="50">
        <f t="shared" si="110"/>
        <v>0</v>
      </c>
      <c r="U195" s="49">
        <f>SUM(U194)</f>
        <v>0</v>
      </c>
      <c r="V195" s="50">
        <f t="shared" si="111"/>
        <v>0</v>
      </c>
      <c r="W195" s="49">
        <f>SUM(W194)</f>
        <v>0</v>
      </c>
      <c r="X195" s="50">
        <f t="shared" si="112"/>
        <v>0</v>
      </c>
      <c r="Y195" s="49">
        <f>SUM(Y194)</f>
        <v>0</v>
      </c>
      <c r="Z195" s="49">
        <f>SUM(Z194)</f>
        <v>0</v>
      </c>
    </row>
    <row r="196" spans="1:26" ht="13.9" customHeight="1" x14ac:dyDescent="0.25">
      <c r="A196" s="15">
        <v>3</v>
      </c>
      <c r="B196" s="15">
        <v>1</v>
      </c>
      <c r="D196" s="11" t="s">
        <v>188</v>
      </c>
      <c r="E196" s="24">
        <v>610</v>
      </c>
      <c r="F196" s="24" t="s">
        <v>131</v>
      </c>
      <c r="G196" s="25">
        <v>15333.22</v>
      </c>
      <c r="H196" s="25">
        <v>14189.72</v>
      </c>
      <c r="I196" s="25">
        <v>15388</v>
      </c>
      <c r="J196" s="25">
        <v>15766</v>
      </c>
      <c r="K196" s="25">
        <v>15476</v>
      </c>
      <c r="L196" s="25"/>
      <c r="M196" s="25"/>
      <c r="N196" s="25"/>
      <c r="O196" s="25"/>
      <c r="P196" s="25">
        <f>K196+SUM(L196:O196)</f>
        <v>15476</v>
      </c>
      <c r="Q196" s="25">
        <v>4493.13</v>
      </c>
      <c r="R196" s="26">
        <f t="shared" si="109"/>
        <v>0.29032889635564746</v>
      </c>
      <c r="S196" s="25"/>
      <c r="T196" s="26">
        <f t="shared" si="110"/>
        <v>0</v>
      </c>
      <c r="U196" s="25"/>
      <c r="V196" s="26">
        <f t="shared" si="111"/>
        <v>0</v>
      </c>
      <c r="W196" s="25"/>
      <c r="X196" s="26">
        <f t="shared" si="112"/>
        <v>0</v>
      </c>
      <c r="Y196" s="25">
        <v>15374</v>
      </c>
      <c r="Z196" s="25">
        <v>16107</v>
      </c>
    </row>
    <row r="197" spans="1:26" ht="13.9" customHeight="1" x14ac:dyDescent="0.25">
      <c r="A197" s="15">
        <v>3</v>
      </c>
      <c r="B197" s="15">
        <v>1</v>
      </c>
      <c r="D197" s="11"/>
      <c r="E197" s="24">
        <v>620</v>
      </c>
      <c r="F197" s="24" t="s">
        <v>132</v>
      </c>
      <c r="G197" s="25">
        <v>5358.63</v>
      </c>
      <c r="H197" s="25">
        <v>4958.96</v>
      </c>
      <c r="I197" s="25">
        <v>5378</v>
      </c>
      <c r="J197" s="25">
        <v>5666</v>
      </c>
      <c r="K197" s="25">
        <v>5564</v>
      </c>
      <c r="L197" s="25"/>
      <c r="M197" s="25"/>
      <c r="N197" s="25"/>
      <c r="O197" s="25"/>
      <c r="P197" s="25">
        <f>K197+SUM(L197:O197)</f>
        <v>5564</v>
      </c>
      <c r="Q197" s="25">
        <v>1431.56</v>
      </c>
      <c r="R197" s="26">
        <f t="shared" si="109"/>
        <v>0.2572897196261682</v>
      </c>
      <c r="S197" s="25"/>
      <c r="T197" s="26">
        <f t="shared" si="110"/>
        <v>0</v>
      </c>
      <c r="U197" s="25"/>
      <c r="V197" s="26">
        <f t="shared" si="111"/>
        <v>0</v>
      </c>
      <c r="W197" s="25"/>
      <c r="X197" s="26">
        <f t="shared" si="112"/>
        <v>0</v>
      </c>
      <c r="Y197" s="25">
        <v>5526</v>
      </c>
      <c r="Z197" s="25">
        <v>5790</v>
      </c>
    </row>
    <row r="198" spans="1:26" ht="13.9" customHeight="1" x14ac:dyDescent="0.25">
      <c r="A198" s="15">
        <v>3</v>
      </c>
      <c r="B198" s="15">
        <v>1</v>
      </c>
      <c r="D198" s="11"/>
      <c r="E198" s="24">
        <v>630</v>
      </c>
      <c r="F198" s="24" t="s">
        <v>133</v>
      </c>
      <c r="G198" s="25">
        <v>18256.169999999998</v>
      </c>
      <c r="H198" s="25">
        <v>16505.919999999998</v>
      </c>
      <c r="I198" s="25">
        <f>1468+18712</f>
        <v>20180</v>
      </c>
      <c r="J198" s="25">
        <v>19762</v>
      </c>
      <c r="K198" s="25">
        <f>1506+15699</f>
        <v>17205</v>
      </c>
      <c r="L198" s="25"/>
      <c r="M198" s="25"/>
      <c r="N198" s="25"/>
      <c r="O198" s="25"/>
      <c r="P198" s="25">
        <f>K198+SUM(L198:O198)</f>
        <v>17205</v>
      </c>
      <c r="Q198" s="25">
        <v>4373.8100000000004</v>
      </c>
      <c r="R198" s="26">
        <f t="shared" si="109"/>
        <v>0.25421737866899158</v>
      </c>
      <c r="S198" s="25"/>
      <c r="T198" s="26">
        <f t="shared" si="110"/>
        <v>0</v>
      </c>
      <c r="U198" s="25"/>
      <c r="V198" s="26">
        <f t="shared" si="111"/>
        <v>0</v>
      </c>
      <c r="W198" s="25"/>
      <c r="X198" s="26">
        <f t="shared" si="112"/>
        <v>0</v>
      </c>
      <c r="Y198" s="25">
        <f>1517+15699</f>
        <v>17216</v>
      </c>
      <c r="Z198" s="25">
        <f>1530+15699</f>
        <v>17229</v>
      </c>
    </row>
    <row r="199" spans="1:26" ht="13.9" hidden="1" customHeight="1" x14ac:dyDescent="0.25">
      <c r="A199" s="15">
        <v>3</v>
      </c>
      <c r="B199" s="15">
        <v>1</v>
      </c>
      <c r="D199" s="11"/>
      <c r="E199" s="24">
        <v>640</v>
      </c>
      <c r="F199" s="24" t="s">
        <v>134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/>
      <c r="M199" s="25"/>
      <c r="N199" s="25"/>
      <c r="O199" s="25"/>
      <c r="P199" s="25">
        <f>K199+SUM(L199:O199)</f>
        <v>0</v>
      </c>
      <c r="Q199" s="25"/>
      <c r="R199" s="26">
        <f t="shared" si="109"/>
        <v>0</v>
      </c>
      <c r="S199" s="25"/>
      <c r="T199" s="26">
        <f t="shared" si="110"/>
        <v>0</v>
      </c>
      <c r="U199" s="25"/>
      <c r="V199" s="26">
        <f t="shared" si="111"/>
        <v>0</v>
      </c>
      <c r="W199" s="25"/>
      <c r="X199" s="26">
        <f t="shared" si="112"/>
        <v>0</v>
      </c>
      <c r="Y199" s="25">
        <v>0</v>
      </c>
      <c r="Z199" s="25">
        <v>0</v>
      </c>
    </row>
    <row r="200" spans="1:26" ht="13.9" customHeight="1" x14ac:dyDescent="0.25">
      <c r="A200" s="15">
        <v>3</v>
      </c>
      <c r="B200" s="15">
        <v>1</v>
      </c>
      <c r="D200" s="79" t="s">
        <v>21</v>
      </c>
      <c r="E200" s="48">
        <v>41</v>
      </c>
      <c r="F200" s="48" t="s">
        <v>23</v>
      </c>
      <c r="G200" s="49">
        <f t="shared" ref="G200:Q200" si="114">SUM(G196:G199)</f>
        <v>38948.019999999997</v>
      </c>
      <c r="H200" s="49">
        <f t="shared" si="114"/>
        <v>35654.6</v>
      </c>
      <c r="I200" s="49">
        <f t="shared" si="114"/>
        <v>40946</v>
      </c>
      <c r="J200" s="49">
        <f t="shared" si="114"/>
        <v>41194</v>
      </c>
      <c r="K200" s="49">
        <f t="shared" si="114"/>
        <v>38245</v>
      </c>
      <c r="L200" s="49">
        <f t="shared" si="114"/>
        <v>0</v>
      </c>
      <c r="M200" s="49">
        <f t="shared" si="114"/>
        <v>0</v>
      </c>
      <c r="N200" s="49">
        <f t="shared" si="114"/>
        <v>0</v>
      </c>
      <c r="O200" s="49">
        <f t="shared" si="114"/>
        <v>0</v>
      </c>
      <c r="P200" s="49">
        <f t="shared" si="114"/>
        <v>38245</v>
      </c>
      <c r="Q200" s="49">
        <f t="shared" si="114"/>
        <v>10298.5</v>
      </c>
      <c r="R200" s="50">
        <f t="shared" si="109"/>
        <v>0.26927702967708195</v>
      </c>
      <c r="S200" s="49">
        <f>SUM(S196:S199)</f>
        <v>0</v>
      </c>
      <c r="T200" s="50">
        <f t="shared" si="110"/>
        <v>0</v>
      </c>
      <c r="U200" s="49">
        <f>SUM(U196:U199)</f>
        <v>0</v>
      </c>
      <c r="V200" s="50">
        <f t="shared" si="111"/>
        <v>0</v>
      </c>
      <c r="W200" s="49">
        <f>SUM(W196:W199)</f>
        <v>0</v>
      </c>
      <c r="X200" s="50">
        <f t="shared" si="112"/>
        <v>0</v>
      </c>
      <c r="Y200" s="49">
        <f>SUM(Y196:Y199)</f>
        <v>38116</v>
      </c>
      <c r="Z200" s="49">
        <f>SUM(Z196:Z199)</f>
        <v>39126</v>
      </c>
    </row>
    <row r="201" spans="1:26" ht="13.9" customHeight="1" x14ac:dyDescent="0.25">
      <c r="A201" s="15">
        <v>3</v>
      </c>
      <c r="B201" s="15">
        <v>1</v>
      </c>
      <c r="D201" s="91" t="s">
        <v>188</v>
      </c>
      <c r="E201" s="24">
        <v>640</v>
      </c>
      <c r="F201" s="24" t="s">
        <v>134</v>
      </c>
      <c r="G201" s="25">
        <v>174.69</v>
      </c>
      <c r="H201" s="25">
        <v>171.89</v>
      </c>
      <c r="I201" s="25">
        <v>155</v>
      </c>
      <c r="J201" s="25">
        <v>164</v>
      </c>
      <c r="K201" s="25">
        <v>179</v>
      </c>
      <c r="L201" s="25"/>
      <c r="M201" s="25"/>
      <c r="N201" s="25"/>
      <c r="O201" s="25"/>
      <c r="P201" s="25">
        <f>K201+SUM(L201:O201)</f>
        <v>179</v>
      </c>
      <c r="Q201" s="25">
        <v>0</v>
      </c>
      <c r="R201" s="26">
        <f t="shared" si="109"/>
        <v>0</v>
      </c>
      <c r="S201" s="25"/>
      <c r="T201" s="26">
        <f t="shared" si="110"/>
        <v>0</v>
      </c>
      <c r="U201" s="25"/>
      <c r="V201" s="26">
        <f t="shared" si="111"/>
        <v>0</v>
      </c>
      <c r="W201" s="25"/>
      <c r="X201" s="26">
        <f t="shared" si="112"/>
        <v>0</v>
      </c>
      <c r="Y201" s="25">
        <f>K201</f>
        <v>179</v>
      </c>
      <c r="Z201" s="25">
        <f>Y201</f>
        <v>179</v>
      </c>
    </row>
    <row r="202" spans="1:26" ht="13.9" customHeight="1" x14ac:dyDescent="0.25">
      <c r="A202" s="15">
        <v>3</v>
      </c>
      <c r="B202" s="15">
        <v>1</v>
      </c>
      <c r="D202" s="79" t="s">
        <v>21</v>
      </c>
      <c r="E202" s="48">
        <v>72</v>
      </c>
      <c r="F202" s="48" t="s">
        <v>25</v>
      </c>
      <c r="G202" s="49">
        <f t="shared" ref="G202:Q202" si="115">SUM(G201)</f>
        <v>174.69</v>
      </c>
      <c r="H202" s="49">
        <f t="shared" si="115"/>
        <v>171.89</v>
      </c>
      <c r="I202" s="49">
        <f t="shared" si="115"/>
        <v>155</v>
      </c>
      <c r="J202" s="49">
        <f t="shared" si="115"/>
        <v>164</v>
      </c>
      <c r="K202" s="49">
        <f t="shared" si="115"/>
        <v>179</v>
      </c>
      <c r="L202" s="49">
        <f t="shared" si="115"/>
        <v>0</v>
      </c>
      <c r="M202" s="49">
        <f t="shared" si="115"/>
        <v>0</v>
      </c>
      <c r="N202" s="49">
        <f t="shared" si="115"/>
        <v>0</v>
      </c>
      <c r="O202" s="49">
        <f t="shared" si="115"/>
        <v>0</v>
      </c>
      <c r="P202" s="49">
        <f t="shared" si="115"/>
        <v>179</v>
      </c>
      <c r="Q202" s="49">
        <f t="shared" si="115"/>
        <v>0</v>
      </c>
      <c r="R202" s="50">
        <f t="shared" si="109"/>
        <v>0</v>
      </c>
      <c r="S202" s="49">
        <f>SUM(S201)</f>
        <v>0</v>
      </c>
      <c r="T202" s="50">
        <f t="shared" si="110"/>
        <v>0</v>
      </c>
      <c r="U202" s="49">
        <f>SUM(U201)</f>
        <v>0</v>
      </c>
      <c r="V202" s="50">
        <f t="shared" si="111"/>
        <v>0</v>
      </c>
      <c r="W202" s="49">
        <f>SUM(W201)</f>
        <v>0</v>
      </c>
      <c r="X202" s="50">
        <f t="shared" si="112"/>
        <v>0</v>
      </c>
      <c r="Y202" s="49">
        <f>SUM(Y201)</f>
        <v>179</v>
      </c>
      <c r="Z202" s="49">
        <f>SUM(Z201)</f>
        <v>179</v>
      </c>
    </row>
    <row r="203" spans="1:26" ht="13.9" customHeight="1" x14ac:dyDescent="0.25">
      <c r="A203" s="15">
        <v>3</v>
      </c>
      <c r="B203" s="15">
        <v>1</v>
      </c>
      <c r="D203" s="123"/>
      <c r="E203" s="31"/>
      <c r="F203" s="27" t="s">
        <v>126</v>
      </c>
      <c r="G203" s="28">
        <f t="shared" ref="G203:Q203" si="116">G195+G200+G202</f>
        <v>39122.71</v>
      </c>
      <c r="H203" s="28">
        <f t="shared" si="116"/>
        <v>36486.009999999995</v>
      </c>
      <c r="I203" s="28">
        <f t="shared" si="116"/>
        <v>41101</v>
      </c>
      <c r="J203" s="28">
        <f t="shared" si="116"/>
        <v>41358</v>
      </c>
      <c r="K203" s="28">
        <f t="shared" si="116"/>
        <v>38424</v>
      </c>
      <c r="L203" s="28">
        <f t="shared" si="116"/>
        <v>0</v>
      </c>
      <c r="M203" s="28">
        <f t="shared" si="116"/>
        <v>0</v>
      </c>
      <c r="N203" s="28">
        <f t="shared" si="116"/>
        <v>0</v>
      </c>
      <c r="O203" s="28">
        <f t="shared" si="116"/>
        <v>0</v>
      </c>
      <c r="P203" s="28">
        <f t="shared" si="116"/>
        <v>38424</v>
      </c>
      <c r="Q203" s="28">
        <f t="shared" si="116"/>
        <v>10298.5</v>
      </c>
      <c r="R203" s="29">
        <f t="shared" si="109"/>
        <v>0.26802259004788676</v>
      </c>
      <c r="S203" s="28">
        <f>S195+S200+S202</f>
        <v>0</v>
      </c>
      <c r="T203" s="29">
        <f t="shared" si="110"/>
        <v>0</v>
      </c>
      <c r="U203" s="28">
        <f>U195+U200+U202</f>
        <v>0</v>
      </c>
      <c r="V203" s="29">
        <f t="shared" si="111"/>
        <v>0</v>
      </c>
      <c r="W203" s="28">
        <f>W195+W200+W202</f>
        <v>0</v>
      </c>
      <c r="X203" s="29">
        <f t="shared" si="112"/>
        <v>0</v>
      </c>
      <c r="Y203" s="28">
        <f>Y195+Y200+Y202</f>
        <v>38295</v>
      </c>
      <c r="Z203" s="28">
        <f>Z195+Z200+Z202</f>
        <v>39305</v>
      </c>
    </row>
    <row r="205" spans="1:26" ht="13.9" customHeight="1" x14ac:dyDescent="0.25">
      <c r="E205" s="52" t="s">
        <v>55</v>
      </c>
      <c r="F205" s="30" t="s">
        <v>58</v>
      </c>
      <c r="G205" s="118">
        <v>8007.06</v>
      </c>
      <c r="H205" s="118">
        <v>2980.38</v>
      </c>
      <c r="I205" s="118">
        <v>3000</v>
      </c>
      <c r="J205" s="118">
        <v>1770</v>
      </c>
      <c r="K205" s="118">
        <v>1770</v>
      </c>
      <c r="L205" s="118"/>
      <c r="M205" s="118"/>
      <c r="N205" s="118"/>
      <c r="O205" s="118"/>
      <c r="P205" s="118">
        <f t="shared" ref="P205:P210" si="117">K205+SUM(L205:O205)</f>
        <v>1770</v>
      </c>
      <c r="Q205" s="118">
        <v>879.46</v>
      </c>
      <c r="R205" s="124">
        <f t="shared" ref="R205:R210" si="118">IFERROR(Q205/$P205,0)</f>
        <v>0.49687005649717514</v>
      </c>
      <c r="S205" s="118"/>
      <c r="T205" s="124">
        <f t="shared" ref="T205:T210" si="119">IFERROR(S205/$P205,0)</f>
        <v>0</v>
      </c>
      <c r="U205" s="118"/>
      <c r="V205" s="124">
        <f t="shared" ref="V205:V210" si="120">IFERROR(U205/$P205,0)</f>
        <v>0</v>
      </c>
      <c r="W205" s="118"/>
      <c r="X205" s="125">
        <f t="shared" ref="X205:X210" si="121">IFERROR(W205/$P205,0)</f>
        <v>0</v>
      </c>
      <c r="Y205" s="53">
        <f t="shared" ref="Y205:Y210" si="122">K205</f>
        <v>1770</v>
      </c>
      <c r="Z205" s="56">
        <f t="shared" ref="Z205:Z210" si="123">Y205</f>
        <v>1770</v>
      </c>
    </row>
    <row r="206" spans="1:26" ht="13.9" customHeight="1" x14ac:dyDescent="0.25">
      <c r="E206" s="57"/>
      <c r="F206" s="92" t="s">
        <v>149</v>
      </c>
      <c r="G206" s="93">
        <v>1045</v>
      </c>
      <c r="H206" s="93">
        <v>3649.77</v>
      </c>
      <c r="I206" s="93">
        <v>3650</v>
      </c>
      <c r="J206" s="93">
        <v>1494</v>
      </c>
      <c r="K206" s="93">
        <v>1495</v>
      </c>
      <c r="L206" s="93"/>
      <c r="M206" s="93"/>
      <c r="N206" s="93"/>
      <c r="O206" s="93"/>
      <c r="P206" s="93">
        <f t="shared" si="117"/>
        <v>1495</v>
      </c>
      <c r="Q206" s="93">
        <v>459.73</v>
      </c>
      <c r="R206" s="94">
        <f t="shared" si="118"/>
        <v>0.30751170568561875</v>
      </c>
      <c r="S206" s="93"/>
      <c r="T206" s="94">
        <f t="shared" si="119"/>
        <v>0</v>
      </c>
      <c r="U206" s="93"/>
      <c r="V206" s="94">
        <f t="shared" si="120"/>
        <v>0</v>
      </c>
      <c r="W206" s="93"/>
      <c r="X206" s="64">
        <f t="shared" si="121"/>
        <v>0</v>
      </c>
      <c r="Y206" s="59">
        <f t="shared" si="122"/>
        <v>1495</v>
      </c>
      <c r="Z206" s="61">
        <f t="shared" si="123"/>
        <v>1495</v>
      </c>
    </row>
    <row r="207" spans="1:26" ht="13.9" customHeight="1" x14ac:dyDescent="0.25">
      <c r="E207" s="57"/>
      <c r="F207" s="58" t="s">
        <v>189</v>
      </c>
      <c r="G207" s="62">
        <v>1526.26</v>
      </c>
      <c r="H207" s="62">
        <v>5431.51</v>
      </c>
      <c r="I207" s="62">
        <v>5000</v>
      </c>
      <c r="J207" s="62">
        <v>5668</v>
      </c>
      <c r="K207" s="62">
        <v>5000</v>
      </c>
      <c r="L207" s="62">
        <v>-658</v>
      </c>
      <c r="M207" s="62"/>
      <c r="N207" s="62"/>
      <c r="O207" s="62"/>
      <c r="P207" s="62">
        <f t="shared" si="117"/>
        <v>4342</v>
      </c>
      <c r="Q207" s="62">
        <v>230.4</v>
      </c>
      <c r="R207" s="63">
        <f t="shared" si="118"/>
        <v>5.3063104560110548E-2</v>
      </c>
      <c r="S207" s="62"/>
      <c r="T207" s="63">
        <f t="shared" si="119"/>
        <v>0</v>
      </c>
      <c r="U207" s="62"/>
      <c r="V207" s="63">
        <f t="shared" si="120"/>
        <v>0</v>
      </c>
      <c r="W207" s="62"/>
      <c r="X207" s="64">
        <f t="shared" si="121"/>
        <v>0</v>
      </c>
      <c r="Y207" s="59">
        <f t="shared" si="122"/>
        <v>5000</v>
      </c>
      <c r="Z207" s="61">
        <f t="shared" si="123"/>
        <v>5000</v>
      </c>
    </row>
    <row r="208" spans="1:26" ht="13.9" customHeight="1" x14ac:dyDescent="0.25">
      <c r="E208" s="57"/>
      <c r="F208" s="15" t="s">
        <v>190</v>
      </c>
      <c r="G208" s="59">
        <v>2700</v>
      </c>
      <c r="H208" s="59">
        <v>1620</v>
      </c>
      <c r="I208" s="59">
        <v>2160</v>
      </c>
      <c r="J208" s="59">
        <v>2160</v>
      </c>
      <c r="K208" s="59">
        <v>2160</v>
      </c>
      <c r="L208" s="59"/>
      <c r="M208" s="59"/>
      <c r="N208" s="59"/>
      <c r="O208" s="59"/>
      <c r="P208" s="59">
        <f t="shared" si="117"/>
        <v>2160</v>
      </c>
      <c r="Q208" s="59">
        <v>540</v>
      </c>
      <c r="R208" s="16">
        <f t="shared" si="118"/>
        <v>0.25</v>
      </c>
      <c r="S208" s="59"/>
      <c r="T208" s="16">
        <f t="shared" si="119"/>
        <v>0</v>
      </c>
      <c r="U208" s="59"/>
      <c r="V208" s="16">
        <f t="shared" si="120"/>
        <v>0</v>
      </c>
      <c r="W208" s="59"/>
      <c r="X208" s="60">
        <f t="shared" si="121"/>
        <v>0</v>
      </c>
      <c r="Y208" s="59">
        <f t="shared" si="122"/>
        <v>2160</v>
      </c>
      <c r="Z208" s="61">
        <f t="shared" si="123"/>
        <v>2160</v>
      </c>
    </row>
    <row r="209" spans="1:26" ht="13.9" customHeight="1" x14ac:dyDescent="0.25">
      <c r="E209" s="100"/>
      <c r="F209" s="119" t="s">
        <v>191</v>
      </c>
      <c r="G209" s="105">
        <v>2201.12</v>
      </c>
      <c r="H209" s="105">
        <v>453.05</v>
      </c>
      <c r="I209" s="105">
        <v>2200</v>
      </c>
      <c r="J209" s="105">
        <v>1518</v>
      </c>
      <c r="K209" s="105">
        <v>1520</v>
      </c>
      <c r="L209" s="105">
        <v>658</v>
      </c>
      <c r="M209" s="105"/>
      <c r="N209" s="105"/>
      <c r="O209" s="105"/>
      <c r="P209" s="105">
        <f t="shared" si="117"/>
        <v>2178</v>
      </c>
      <c r="Q209" s="105">
        <v>831.92</v>
      </c>
      <c r="R209" s="126">
        <f t="shared" si="118"/>
        <v>0.38196510560146923</v>
      </c>
      <c r="S209" s="105"/>
      <c r="T209" s="126">
        <f t="shared" si="119"/>
        <v>0</v>
      </c>
      <c r="U209" s="105"/>
      <c r="V209" s="126">
        <f t="shared" si="120"/>
        <v>0</v>
      </c>
      <c r="W209" s="105"/>
      <c r="X209" s="127">
        <f t="shared" si="121"/>
        <v>0</v>
      </c>
      <c r="Y209" s="59">
        <f t="shared" si="122"/>
        <v>1520</v>
      </c>
      <c r="Z209" s="61">
        <f t="shared" si="123"/>
        <v>1520</v>
      </c>
    </row>
    <row r="210" spans="1:26" ht="13.9" hidden="1" customHeight="1" x14ac:dyDescent="0.25">
      <c r="E210" s="65"/>
      <c r="F210" s="97" t="s">
        <v>192</v>
      </c>
      <c r="G210" s="67"/>
      <c r="H210" s="67"/>
      <c r="I210" s="67"/>
      <c r="J210" s="67">
        <v>3000</v>
      </c>
      <c r="K210" s="67">
        <v>0</v>
      </c>
      <c r="L210" s="67"/>
      <c r="M210" s="67"/>
      <c r="N210" s="67"/>
      <c r="O210" s="67"/>
      <c r="P210" s="67">
        <f t="shared" si="117"/>
        <v>0</v>
      </c>
      <c r="Q210" s="67"/>
      <c r="R210" s="68">
        <f t="shared" si="118"/>
        <v>0</v>
      </c>
      <c r="S210" s="67"/>
      <c r="T210" s="68">
        <f t="shared" si="119"/>
        <v>0</v>
      </c>
      <c r="U210" s="67"/>
      <c r="V210" s="68">
        <f t="shared" si="120"/>
        <v>0</v>
      </c>
      <c r="W210" s="67"/>
      <c r="X210" s="69">
        <f t="shared" si="121"/>
        <v>0</v>
      </c>
      <c r="Y210" s="67">
        <f t="shared" si="122"/>
        <v>0</v>
      </c>
      <c r="Z210" s="70">
        <f t="shared" si="123"/>
        <v>0</v>
      </c>
    </row>
    <row r="212" spans="1:26" ht="13.9" customHeight="1" x14ac:dyDescent="0.25">
      <c r="D212" s="32" t="s">
        <v>193</v>
      </c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3"/>
      <c r="S212" s="32"/>
      <c r="T212" s="33"/>
      <c r="U212" s="32"/>
      <c r="V212" s="33"/>
      <c r="W212" s="32"/>
      <c r="X212" s="33"/>
      <c r="Y212" s="32"/>
      <c r="Z212" s="32"/>
    </row>
    <row r="213" spans="1:26" ht="13.9" customHeight="1" x14ac:dyDescent="0.25">
      <c r="D213" s="20"/>
      <c r="E213" s="20"/>
      <c r="F213" s="20"/>
      <c r="G213" s="21" t="s">
        <v>1</v>
      </c>
      <c r="H213" s="21" t="s">
        <v>2</v>
      </c>
      <c r="I213" s="21" t="s">
        <v>3</v>
      </c>
      <c r="J213" s="21" t="s">
        <v>4</v>
      </c>
      <c r="K213" s="21" t="s">
        <v>5</v>
      </c>
      <c r="L213" s="21" t="s">
        <v>6</v>
      </c>
      <c r="M213" s="21" t="s">
        <v>7</v>
      </c>
      <c r="N213" s="21" t="s">
        <v>8</v>
      </c>
      <c r="O213" s="21" t="s">
        <v>9</v>
      </c>
      <c r="P213" s="21" t="s">
        <v>123</v>
      </c>
      <c r="Q213" s="21" t="s">
        <v>11</v>
      </c>
      <c r="R213" s="22" t="s">
        <v>12</v>
      </c>
      <c r="S213" s="21" t="s">
        <v>13</v>
      </c>
      <c r="T213" s="22" t="s">
        <v>14</v>
      </c>
      <c r="U213" s="21" t="s">
        <v>15</v>
      </c>
      <c r="V213" s="22" t="s">
        <v>16</v>
      </c>
      <c r="W213" s="21" t="s">
        <v>17</v>
      </c>
      <c r="X213" s="22" t="s">
        <v>18</v>
      </c>
      <c r="Y213" s="21" t="s">
        <v>19</v>
      </c>
      <c r="Z213" s="21" t="s">
        <v>20</v>
      </c>
    </row>
    <row r="214" spans="1:26" ht="13.9" hidden="1" customHeight="1" x14ac:dyDescent="0.25">
      <c r="A214" s="15">
        <v>4</v>
      </c>
      <c r="D214" s="4" t="s">
        <v>21</v>
      </c>
      <c r="E214" s="35">
        <v>111</v>
      </c>
      <c r="F214" s="35" t="s">
        <v>45</v>
      </c>
      <c r="G214" s="36">
        <f t="shared" ref="G214:Q214" si="124">G234</f>
        <v>0</v>
      </c>
      <c r="H214" s="36">
        <f t="shared" si="124"/>
        <v>730.89</v>
      </c>
      <c r="I214" s="36">
        <f t="shared" si="124"/>
        <v>0</v>
      </c>
      <c r="J214" s="36">
        <f t="shared" si="124"/>
        <v>0</v>
      </c>
      <c r="K214" s="36">
        <f t="shared" si="124"/>
        <v>0</v>
      </c>
      <c r="L214" s="36">
        <f t="shared" si="124"/>
        <v>0</v>
      </c>
      <c r="M214" s="36">
        <f t="shared" si="124"/>
        <v>0</v>
      </c>
      <c r="N214" s="36">
        <f t="shared" si="124"/>
        <v>0</v>
      </c>
      <c r="O214" s="36">
        <f t="shared" si="124"/>
        <v>0</v>
      </c>
      <c r="P214" s="36">
        <f t="shared" si="124"/>
        <v>0</v>
      </c>
      <c r="Q214" s="36">
        <f t="shared" si="124"/>
        <v>0</v>
      </c>
      <c r="R214" s="37">
        <f>IFERROR(Q214/$P214,0)</f>
        <v>0</v>
      </c>
      <c r="S214" s="36">
        <f>S234</f>
        <v>0</v>
      </c>
      <c r="T214" s="37">
        <f>IFERROR(S214/$P214,0)</f>
        <v>0</v>
      </c>
      <c r="U214" s="36">
        <f>U234</f>
        <v>0</v>
      </c>
      <c r="V214" s="37">
        <f>IFERROR(U214/$P214,0)</f>
        <v>0</v>
      </c>
      <c r="W214" s="36">
        <f>W234</f>
        <v>0</v>
      </c>
      <c r="X214" s="37">
        <f>IFERROR(W214/$P214,0)</f>
        <v>0</v>
      </c>
      <c r="Y214" s="36">
        <f>Y234</f>
        <v>0</v>
      </c>
      <c r="Z214" s="36">
        <f>Z234</f>
        <v>0</v>
      </c>
    </row>
    <row r="215" spans="1:26" ht="13.9" customHeight="1" x14ac:dyDescent="0.25">
      <c r="A215" s="15">
        <v>4</v>
      </c>
      <c r="D215" s="4" t="s">
        <v>21</v>
      </c>
      <c r="E215" s="35">
        <v>41</v>
      </c>
      <c r="F215" s="35" t="s">
        <v>23</v>
      </c>
      <c r="G215" s="36">
        <f t="shared" ref="G215:Q215" si="125">G223+G229+G239</f>
        <v>78101.989999999991</v>
      </c>
      <c r="H215" s="36">
        <f t="shared" si="125"/>
        <v>81628.34</v>
      </c>
      <c r="I215" s="36">
        <f t="shared" si="125"/>
        <v>100520</v>
      </c>
      <c r="J215" s="36">
        <f t="shared" si="125"/>
        <v>98810</v>
      </c>
      <c r="K215" s="36">
        <f t="shared" si="125"/>
        <v>95178</v>
      </c>
      <c r="L215" s="36">
        <f t="shared" si="125"/>
        <v>0</v>
      </c>
      <c r="M215" s="36">
        <f t="shared" si="125"/>
        <v>0</v>
      </c>
      <c r="N215" s="36">
        <f t="shared" si="125"/>
        <v>0</v>
      </c>
      <c r="O215" s="36">
        <f t="shared" si="125"/>
        <v>0</v>
      </c>
      <c r="P215" s="36">
        <f t="shared" si="125"/>
        <v>95178</v>
      </c>
      <c r="Q215" s="36">
        <f t="shared" si="125"/>
        <v>23304.019999999997</v>
      </c>
      <c r="R215" s="37">
        <f>IFERROR(Q215/$P215,0)</f>
        <v>0.24484670827292018</v>
      </c>
      <c r="S215" s="36">
        <f>S223+S229+S239</f>
        <v>0</v>
      </c>
      <c r="T215" s="37">
        <f>IFERROR(S215/$P215,0)</f>
        <v>0</v>
      </c>
      <c r="U215" s="36">
        <f>U223+U229+U239</f>
        <v>0</v>
      </c>
      <c r="V215" s="37">
        <f>IFERROR(U215/$P215,0)</f>
        <v>0</v>
      </c>
      <c r="W215" s="36">
        <f>W223+W229+W239</f>
        <v>0</v>
      </c>
      <c r="X215" s="37">
        <f>IFERROR(W215/$P215,0)</f>
        <v>0</v>
      </c>
      <c r="Y215" s="36">
        <f>Y223+Y229+Y239</f>
        <v>94948</v>
      </c>
      <c r="Z215" s="36">
        <f>Z223+Z229+Z239</f>
        <v>95774</v>
      </c>
    </row>
    <row r="216" spans="1:26" ht="13.9" customHeight="1" x14ac:dyDescent="0.25">
      <c r="A216" s="15">
        <v>4</v>
      </c>
      <c r="D216" s="4"/>
      <c r="E216" s="35">
        <v>72</v>
      </c>
      <c r="F216" s="35" t="s">
        <v>25</v>
      </c>
      <c r="G216" s="36">
        <f t="shared" ref="G216:Q216" si="126">G241</f>
        <v>33.69</v>
      </c>
      <c r="H216" s="36">
        <f t="shared" si="126"/>
        <v>49.7</v>
      </c>
      <c r="I216" s="36">
        <f t="shared" si="126"/>
        <v>155</v>
      </c>
      <c r="J216" s="36">
        <f t="shared" si="126"/>
        <v>165</v>
      </c>
      <c r="K216" s="36">
        <f t="shared" si="126"/>
        <v>179</v>
      </c>
      <c r="L216" s="36">
        <f t="shared" si="126"/>
        <v>0</v>
      </c>
      <c r="M216" s="36">
        <f t="shared" si="126"/>
        <v>0</v>
      </c>
      <c r="N216" s="36">
        <f t="shared" si="126"/>
        <v>0</v>
      </c>
      <c r="O216" s="36">
        <f t="shared" si="126"/>
        <v>0</v>
      </c>
      <c r="P216" s="36">
        <f t="shared" si="126"/>
        <v>179</v>
      </c>
      <c r="Q216" s="36">
        <f t="shared" si="126"/>
        <v>0</v>
      </c>
      <c r="R216" s="37">
        <f>IFERROR(Q216/$P216,0)</f>
        <v>0</v>
      </c>
      <c r="S216" s="36">
        <f>S241</f>
        <v>0</v>
      </c>
      <c r="T216" s="37">
        <f>IFERROR(S216/$P216,0)</f>
        <v>0</v>
      </c>
      <c r="U216" s="36">
        <f>U241</f>
        <v>0</v>
      </c>
      <c r="V216" s="37">
        <f>IFERROR(U216/$P216,0)</f>
        <v>0</v>
      </c>
      <c r="W216" s="36">
        <f>W241</f>
        <v>0</v>
      </c>
      <c r="X216" s="37">
        <f>IFERROR(W216/$P216,0)</f>
        <v>0</v>
      </c>
      <c r="Y216" s="36">
        <f>Y241</f>
        <v>179</v>
      </c>
      <c r="Z216" s="36">
        <f>Z241</f>
        <v>179</v>
      </c>
    </row>
    <row r="217" spans="1:26" ht="13.9" customHeight="1" x14ac:dyDescent="0.25">
      <c r="A217" s="15">
        <v>4</v>
      </c>
      <c r="D217" s="30"/>
      <c r="E217" s="31"/>
      <c r="F217" s="38" t="s">
        <v>126</v>
      </c>
      <c r="G217" s="39">
        <f t="shared" ref="G217:Q217" si="127">SUM(G214:G216)</f>
        <v>78135.679999999993</v>
      </c>
      <c r="H217" s="39">
        <f t="shared" si="127"/>
        <v>82408.929999999993</v>
      </c>
      <c r="I217" s="39">
        <f t="shared" si="127"/>
        <v>100675</v>
      </c>
      <c r="J217" s="39">
        <f t="shared" si="127"/>
        <v>98975</v>
      </c>
      <c r="K217" s="39">
        <f t="shared" si="127"/>
        <v>95357</v>
      </c>
      <c r="L217" s="39">
        <f t="shared" si="127"/>
        <v>0</v>
      </c>
      <c r="M217" s="39">
        <f t="shared" si="127"/>
        <v>0</v>
      </c>
      <c r="N217" s="39">
        <f t="shared" si="127"/>
        <v>0</v>
      </c>
      <c r="O217" s="39">
        <f t="shared" si="127"/>
        <v>0</v>
      </c>
      <c r="P217" s="39">
        <f t="shared" si="127"/>
        <v>95357</v>
      </c>
      <c r="Q217" s="39">
        <f t="shared" si="127"/>
        <v>23304.019999999997</v>
      </c>
      <c r="R217" s="40">
        <f>IFERROR(Q217/$P217,0)</f>
        <v>0.2443870927147456</v>
      </c>
      <c r="S217" s="39">
        <f>SUM(S214:S216)</f>
        <v>0</v>
      </c>
      <c r="T217" s="40">
        <f>IFERROR(S217/$P217,0)</f>
        <v>0</v>
      </c>
      <c r="U217" s="39">
        <f>SUM(U214:U216)</f>
        <v>0</v>
      </c>
      <c r="V217" s="40">
        <f>IFERROR(U217/$P217,0)</f>
        <v>0</v>
      </c>
      <c r="W217" s="39">
        <f>SUM(W214:W216)</f>
        <v>0</v>
      </c>
      <c r="X217" s="40">
        <f>IFERROR(W217/$P217,0)</f>
        <v>0</v>
      </c>
      <c r="Y217" s="39">
        <f>SUM(Y214:Y216)</f>
        <v>95127</v>
      </c>
      <c r="Z217" s="39">
        <f>SUM(Z214:Z216)</f>
        <v>95953</v>
      </c>
    </row>
    <row r="219" spans="1:26" ht="13.9" customHeight="1" x14ac:dyDescent="0.25">
      <c r="D219" s="73" t="s">
        <v>194</v>
      </c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4"/>
      <c r="S219" s="73"/>
      <c r="T219" s="74"/>
      <c r="U219" s="73"/>
      <c r="V219" s="74"/>
      <c r="W219" s="73"/>
      <c r="X219" s="74"/>
      <c r="Y219" s="73"/>
      <c r="Z219" s="73"/>
    </row>
    <row r="220" spans="1:26" ht="13.9" customHeight="1" x14ac:dyDescent="0.25">
      <c r="D220" s="21" t="s">
        <v>32</v>
      </c>
      <c r="E220" s="21" t="s">
        <v>33</v>
      </c>
      <c r="F220" s="21" t="s">
        <v>34</v>
      </c>
      <c r="G220" s="21" t="s">
        <v>1</v>
      </c>
      <c r="H220" s="21" t="s">
        <v>2</v>
      </c>
      <c r="I220" s="21" t="s">
        <v>3</v>
      </c>
      <c r="J220" s="21" t="s">
        <v>4</v>
      </c>
      <c r="K220" s="21" t="s">
        <v>5</v>
      </c>
      <c r="L220" s="21" t="s">
        <v>6</v>
      </c>
      <c r="M220" s="21" t="s">
        <v>7</v>
      </c>
      <c r="N220" s="21" t="s">
        <v>8</v>
      </c>
      <c r="O220" s="21" t="s">
        <v>9</v>
      </c>
      <c r="P220" s="21" t="s">
        <v>123</v>
      </c>
      <c r="Q220" s="21" t="s">
        <v>11</v>
      </c>
      <c r="R220" s="22" t="s">
        <v>12</v>
      </c>
      <c r="S220" s="21" t="s">
        <v>13</v>
      </c>
      <c r="T220" s="22" t="s">
        <v>14</v>
      </c>
      <c r="U220" s="21" t="s">
        <v>15</v>
      </c>
      <c r="V220" s="22" t="s">
        <v>16</v>
      </c>
      <c r="W220" s="21" t="s">
        <v>17</v>
      </c>
      <c r="X220" s="22" t="s">
        <v>18</v>
      </c>
      <c r="Y220" s="21" t="s">
        <v>19</v>
      </c>
      <c r="Z220" s="21" t="s">
        <v>20</v>
      </c>
    </row>
    <row r="221" spans="1:26" ht="13.9" customHeight="1" x14ac:dyDescent="0.25">
      <c r="A221" s="15">
        <v>4</v>
      </c>
      <c r="B221" s="15">
        <v>1</v>
      </c>
      <c r="D221" s="84" t="s">
        <v>195</v>
      </c>
      <c r="E221" s="24">
        <v>630</v>
      </c>
      <c r="F221" s="24" t="s">
        <v>133</v>
      </c>
      <c r="G221" s="46">
        <v>56647.22</v>
      </c>
      <c r="H221" s="46">
        <v>62161.06</v>
      </c>
      <c r="I221" s="46">
        <v>67550</v>
      </c>
      <c r="J221" s="46">
        <v>64724</v>
      </c>
      <c r="K221" s="46">
        <v>65200</v>
      </c>
      <c r="L221" s="46"/>
      <c r="M221" s="46"/>
      <c r="N221" s="46"/>
      <c r="O221" s="46"/>
      <c r="P221" s="46">
        <f>K221+SUM(L221:O221)</f>
        <v>65200</v>
      </c>
      <c r="Q221" s="46">
        <v>17350.669999999998</v>
      </c>
      <c r="R221" s="47">
        <f>IFERROR(Q221/$P221,0)</f>
        <v>0.26611457055214721</v>
      </c>
      <c r="S221" s="46"/>
      <c r="T221" s="47">
        <f>IFERROR(S221/$P221,0)</f>
        <v>0</v>
      </c>
      <c r="U221" s="46"/>
      <c r="V221" s="47">
        <f>IFERROR(U221/$P221,0)</f>
        <v>0</v>
      </c>
      <c r="W221" s="46"/>
      <c r="X221" s="47">
        <f>IFERROR(W221/$P221,0)</f>
        <v>0</v>
      </c>
      <c r="Y221" s="25">
        <f>K221</f>
        <v>65200</v>
      </c>
      <c r="Z221" s="25">
        <f>Y221</f>
        <v>65200</v>
      </c>
    </row>
    <row r="222" spans="1:26" ht="13.9" customHeight="1" x14ac:dyDescent="0.25">
      <c r="A222" s="15">
        <v>4</v>
      </c>
      <c r="B222" s="15">
        <v>1</v>
      </c>
      <c r="D222" s="79" t="s">
        <v>21</v>
      </c>
      <c r="E222" s="48">
        <v>41</v>
      </c>
      <c r="F222" s="48" t="s">
        <v>23</v>
      </c>
      <c r="G222" s="49">
        <f t="shared" ref="G222:Q222" si="128">SUM(G221)</f>
        <v>56647.22</v>
      </c>
      <c r="H222" s="49">
        <f t="shared" si="128"/>
        <v>62161.06</v>
      </c>
      <c r="I222" s="49">
        <f t="shared" si="128"/>
        <v>67550</v>
      </c>
      <c r="J222" s="49">
        <f t="shared" si="128"/>
        <v>64724</v>
      </c>
      <c r="K222" s="49">
        <f t="shared" si="128"/>
        <v>65200</v>
      </c>
      <c r="L222" s="49">
        <f t="shared" si="128"/>
        <v>0</v>
      </c>
      <c r="M222" s="49">
        <f t="shared" si="128"/>
        <v>0</v>
      </c>
      <c r="N222" s="49">
        <f t="shared" si="128"/>
        <v>0</v>
      </c>
      <c r="O222" s="49">
        <f t="shared" si="128"/>
        <v>0</v>
      </c>
      <c r="P222" s="49">
        <f t="shared" si="128"/>
        <v>65200</v>
      </c>
      <c r="Q222" s="49">
        <f t="shared" si="128"/>
        <v>17350.669999999998</v>
      </c>
      <c r="R222" s="50">
        <f>IFERROR(Q222/$P222,0)</f>
        <v>0.26611457055214721</v>
      </c>
      <c r="S222" s="49">
        <f>SUM(S221)</f>
        <v>0</v>
      </c>
      <c r="T222" s="50">
        <f>IFERROR(S222/$P222,0)</f>
        <v>0</v>
      </c>
      <c r="U222" s="49">
        <f>SUM(U221)</f>
        <v>0</v>
      </c>
      <c r="V222" s="50">
        <f>IFERROR(U222/$P222,0)</f>
        <v>0</v>
      </c>
      <c r="W222" s="49">
        <f>SUM(W221)</f>
        <v>0</v>
      </c>
      <c r="X222" s="50">
        <f>IFERROR(W222/$P222,0)</f>
        <v>0</v>
      </c>
      <c r="Y222" s="49">
        <f>SUM(Y221)</f>
        <v>65200</v>
      </c>
      <c r="Z222" s="49">
        <f>SUM(Z221)</f>
        <v>65200</v>
      </c>
    </row>
    <row r="223" spans="1:26" ht="13.9" customHeight="1" x14ac:dyDescent="0.25">
      <c r="A223" s="15">
        <v>4</v>
      </c>
      <c r="B223" s="15">
        <v>1</v>
      </c>
      <c r="D223" s="86"/>
      <c r="E223" s="87"/>
      <c r="F223" s="27" t="s">
        <v>126</v>
      </c>
      <c r="G223" s="28">
        <f t="shared" ref="G223:Q223" si="129">G222</f>
        <v>56647.22</v>
      </c>
      <c r="H223" s="28">
        <f t="shared" si="129"/>
        <v>62161.06</v>
      </c>
      <c r="I223" s="28">
        <f t="shared" si="129"/>
        <v>67550</v>
      </c>
      <c r="J223" s="28">
        <f t="shared" si="129"/>
        <v>64724</v>
      </c>
      <c r="K223" s="28">
        <f t="shared" si="129"/>
        <v>65200</v>
      </c>
      <c r="L223" s="28">
        <f t="shared" si="129"/>
        <v>0</v>
      </c>
      <c r="M223" s="28">
        <f t="shared" si="129"/>
        <v>0</v>
      </c>
      <c r="N223" s="28">
        <f t="shared" si="129"/>
        <v>0</v>
      </c>
      <c r="O223" s="28">
        <f t="shared" si="129"/>
        <v>0</v>
      </c>
      <c r="P223" s="28">
        <f t="shared" si="129"/>
        <v>65200</v>
      </c>
      <c r="Q223" s="28">
        <f t="shared" si="129"/>
        <v>17350.669999999998</v>
      </c>
      <c r="R223" s="29">
        <f>IFERROR(Q223/$P223,0)</f>
        <v>0.26611457055214721</v>
      </c>
      <c r="S223" s="28">
        <f>S222</f>
        <v>0</v>
      </c>
      <c r="T223" s="29">
        <f>IFERROR(S223/$P223,0)</f>
        <v>0</v>
      </c>
      <c r="U223" s="28">
        <f>U222</f>
        <v>0</v>
      </c>
      <c r="V223" s="29">
        <f>IFERROR(U223/$P223,0)</f>
        <v>0</v>
      </c>
      <c r="W223" s="28">
        <f>W222</f>
        <v>0</v>
      </c>
      <c r="X223" s="29">
        <f>IFERROR(W223/$P223,0)</f>
        <v>0</v>
      </c>
      <c r="Y223" s="28">
        <f>Y222</f>
        <v>65200</v>
      </c>
      <c r="Z223" s="28">
        <f>Z222</f>
        <v>65200</v>
      </c>
    </row>
    <row r="225" spans="1:26" ht="13.9" customHeight="1" x14ac:dyDescent="0.25">
      <c r="D225" s="73" t="s">
        <v>196</v>
      </c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4"/>
      <c r="S225" s="73"/>
      <c r="T225" s="74"/>
      <c r="U225" s="73"/>
      <c r="V225" s="74"/>
      <c r="W225" s="73"/>
      <c r="X225" s="74"/>
      <c r="Y225" s="73"/>
      <c r="Z225" s="73"/>
    </row>
    <row r="226" spans="1:26" ht="13.9" customHeight="1" x14ac:dyDescent="0.25">
      <c r="D226" s="21" t="s">
        <v>32</v>
      </c>
      <c r="E226" s="21" t="s">
        <v>33</v>
      </c>
      <c r="F226" s="21" t="s">
        <v>34</v>
      </c>
      <c r="G226" s="21" t="s">
        <v>1</v>
      </c>
      <c r="H226" s="21" t="s">
        <v>2</v>
      </c>
      <c r="I226" s="21" t="s">
        <v>3</v>
      </c>
      <c r="J226" s="21" t="s">
        <v>4</v>
      </c>
      <c r="K226" s="21" t="s">
        <v>5</v>
      </c>
      <c r="L226" s="21" t="s">
        <v>6</v>
      </c>
      <c r="M226" s="21" t="s">
        <v>7</v>
      </c>
      <c r="N226" s="21" t="s">
        <v>8</v>
      </c>
      <c r="O226" s="21" t="s">
        <v>9</v>
      </c>
      <c r="P226" s="21" t="s">
        <v>123</v>
      </c>
      <c r="Q226" s="21" t="s">
        <v>11</v>
      </c>
      <c r="R226" s="22" t="s">
        <v>12</v>
      </c>
      <c r="S226" s="21" t="s">
        <v>13</v>
      </c>
      <c r="T226" s="22" t="s">
        <v>14</v>
      </c>
      <c r="U226" s="21" t="s">
        <v>15</v>
      </c>
      <c r="V226" s="22" t="s">
        <v>16</v>
      </c>
      <c r="W226" s="21" t="s">
        <v>17</v>
      </c>
      <c r="X226" s="22" t="s">
        <v>18</v>
      </c>
      <c r="Y226" s="21" t="s">
        <v>19</v>
      </c>
      <c r="Z226" s="21" t="s">
        <v>20</v>
      </c>
    </row>
    <row r="227" spans="1:26" ht="13.9" customHeight="1" x14ac:dyDescent="0.25">
      <c r="A227" s="15">
        <v>4</v>
      </c>
      <c r="B227" s="15">
        <v>2</v>
      </c>
      <c r="D227" s="84" t="s">
        <v>195</v>
      </c>
      <c r="E227" s="24">
        <v>630</v>
      </c>
      <c r="F227" s="24" t="s">
        <v>133</v>
      </c>
      <c r="G227" s="25">
        <v>328.28</v>
      </c>
      <c r="H227" s="25">
        <v>878.28</v>
      </c>
      <c r="I227" s="25">
        <v>878</v>
      </c>
      <c r="J227" s="25">
        <v>2028</v>
      </c>
      <c r="K227" s="25">
        <v>728</v>
      </c>
      <c r="L227" s="25"/>
      <c r="M227" s="25"/>
      <c r="N227" s="25"/>
      <c r="O227" s="25"/>
      <c r="P227" s="25">
        <f>K227+SUM(L227:O227)</f>
        <v>728</v>
      </c>
      <c r="Q227" s="25">
        <v>72.8</v>
      </c>
      <c r="R227" s="26">
        <f>IFERROR(Q227/$P227,0)</f>
        <v>9.9999999999999992E-2</v>
      </c>
      <c r="S227" s="25"/>
      <c r="T227" s="26">
        <f>IFERROR(S227/$P227,0)</f>
        <v>0</v>
      </c>
      <c r="U227" s="25"/>
      <c r="V227" s="26">
        <f>IFERROR(U227/$P227,0)</f>
        <v>0</v>
      </c>
      <c r="W227" s="25"/>
      <c r="X227" s="26">
        <f>IFERROR(W227/$P227,0)</f>
        <v>0</v>
      </c>
      <c r="Y227" s="25">
        <f>K227</f>
        <v>728</v>
      </c>
      <c r="Z227" s="25">
        <f>Y227</f>
        <v>728</v>
      </c>
    </row>
    <row r="228" spans="1:26" ht="13.9" customHeight="1" x14ac:dyDescent="0.25">
      <c r="A228" s="15">
        <v>4</v>
      </c>
      <c r="B228" s="15">
        <v>2</v>
      </c>
      <c r="D228" s="79" t="s">
        <v>21</v>
      </c>
      <c r="E228" s="48">
        <v>41</v>
      </c>
      <c r="F228" s="48" t="s">
        <v>23</v>
      </c>
      <c r="G228" s="49">
        <f t="shared" ref="G228:Q228" si="130">SUM(G227)</f>
        <v>328.28</v>
      </c>
      <c r="H228" s="49">
        <f t="shared" si="130"/>
        <v>878.28</v>
      </c>
      <c r="I228" s="49">
        <f t="shared" si="130"/>
        <v>878</v>
      </c>
      <c r="J228" s="49">
        <f t="shared" si="130"/>
        <v>2028</v>
      </c>
      <c r="K228" s="49">
        <f t="shared" si="130"/>
        <v>728</v>
      </c>
      <c r="L228" s="49">
        <f t="shared" si="130"/>
        <v>0</v>
      </c>
      <c r="M228" s="49">
        <f t="shared" si="130"/>
        <v>0</v>
      </c>
      <c r="N228" s="49">
        <f t="shared" si="130"/>
        <v>0</v>
      </c>
      <c r="O228" s="49">
        <f t="shared" si="130"/>
        <v>0</v>
      </c>
      <c r="P228" s="49">
        <f t="shared" si="130"/>
        <v>728</v>
      </c>
      <c r="Q228" s="49">
        <f t="shared" si="130"/>
        <v>72.8</v>
      </c>
      <c r="R228" s="50">
        <f>IFERROR(Q228/$P228,0)</f>
        <v>9.9999999999999992E-2</v>
      </c>
      <c r="S228" s="49">
        <f>SUM(S227)</f>
        <v>0</v>
      </c>
      <c r="T228" s="50">
        <f>IFERROR(S228/$P228,0)</f>
        <v>0</v>
      </c>
      <c r="U228" s="49">
        <f>SUM(U227)</f>
        <v>0</v>
      </c>
      <c r="V228" s="50">
        <f>IFERROR(U228/$P228,0)</f>
        <v>0</v>
      </c>
      <c r="W228" s="49">
        <f>SUM(W227)</f>
        <v>0</v>
      </c>
      <c r="X228" s="50">
        <f>IFERROR(W228/$P228,0)</f>
        <v>0</v>
      </c>
      <c r="Y228" s="49">
        <f>SUM(Y227)</f>
        <v>728</v>
      </c>
      <c r="Z228" s="49">
        <f>SUM(Z227)</f>
        <v>728</v>
      </c>
    </row>
    <row r="229" spans="1:26" ht="13.9" customHeight="1" x14ac:dyDescent="0.25">
      <c r="A229" s="15">
        <v>4</v>
      </c>
      <c r="B229" s="15">
        <v>2</v>
      </c>
      <c r="D229" s="86"/>
      <c r="E229" s="87"/>
      <c r="F229" s="27" t="s">
        <v>126</v>
      </c>
      <c r="G229" s="28">
        <f t="shared" ref="G229:Q229" si="131">G225+G228</f>
        <v>328.28</v>
      </c>
      <c r="H229" s="28">
        <f t="shared" si="131"/>
        <v>878.28</v>
      </c>
      <c r="I229" s="28">
        <f t="shared" si="131"/>
        <v>878</v>
      </c>
      <c r="J229" s="28">
        <f t="shared" si="131"/>
        <v>2028</v>
      </c>
      <c r="K229" s="28">
        <f t="shared" si="131"/>
        <v>728</v>
      </c>
      <c r="L229" s="28">
        <f t="shared" si="131"/>
        <v>0</v>
      </c>
      <c r="M229" s="28">
        <f t="shared" si="131"/>
        <v>0</v>
      </c>
      <c r="N229" s="28">
        <f t="shared" si="131"/>
        <v>0</v>
      </c>
      <c r="O229" s="28">
        <f t="shared" si="131"/>
        <v>0</v>
      </c>
      <c r="P229" s="28">
        <f t="shared" si="131"/>
        <v>728</v>
      </c>
      <c r="Q229" s="28">
        <f t="shared" si="131"/>
        <v>72.8</v>
      </c>
      <c r="R229" s="29">
        <f>IFERROR(Q229/$P229,0)</f>
        <v>9.9999999999999992E-2</v>
      </c>
      <c r="S229" s="28">
        <f>S225+S228</f>
        <v>0</v>
      </c>
      <c r="T229" s="29">
        <f>IFERROR(S229/$P229,0)</f>
        <v>0</v>
      </c>
      <c r="U229" s="28">
        <f>U225+U228</f>
        <v>0</v>
      </c>
      <c r="V229" s="29">
        <f>IFERROR(U229/$P229,0)</f>
        <v>0</v>
      </c>
      <c r="W229" s="28">
        <f>W225+W228</f>
        <v>0</v>
      </c>
      <c r="X229" s="29">
        <f>IFERROR(W229/$P229,0)</f>
        <v>0</v>
      </c>
      <c r="Y229" s="28">
        <f>Y225+Y228</f>
        <v>728</v>
      </c>
      <c r="Z229" s="28">
        <f>Z225+Z228</f>
        <v>728</v>
      </c>
    </row>
    <row r="231" spans="1:26" ht="13.9" customHeight="1" x14ac:dyDescent="0.25">
      <c r="D231" s="73" t="s">
        <v>197</v>
      </c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4"/>
      <c r="S231" s="73"/>
      <c r="T231" s="74"/>
      <c r="U231" s="73"/>
      <c r="V231" s="74"/>
      <c r="W231" s="73"/>
      <c r="X231" s="74"/>
      <c r="Y231" s="73"/>
      <c r="Z231" s="73"/>
    </row>
    <row r="232" spans="1:26" ht="13.9" customHeight="1" x14ac:dyDescent="0.25">
      <c r="D232" s="21" t="s">
        <v>32</v>
      </c>
      <c r="E232" s="21" t="s">
        <v>33</v>
      </c>
      <c r="F232" s="21" t="s">
        <v>34</v>
      </c>
      <c r="G232" s="21" t="s">
        <v>1</v>
      </c>
      <c r="H232" s="21" t="s">
        <v>2</v>
      </c>
      <c r="I232" s="21" t="s">
        <v>3</v>
      </c>
      <c r="J232" s="21" t="s">
        <v>4</v>
      </c>
      <c r="K232" s="21" t="s">
        <v>5</v>
      </c>
      <c r="L232" s="21" t="s">
        <v>6</v>
      </c>
      <c r="M232" s="21" t="s">
        <v>7</v>
      </c>
      <c r="N232" s="21" t="s">
        <v>8</v>
      </c>
      <c r="O232" s="21" t="s">
        <v>9</v>
      </c>
      <c r="P232" s="21" t="s">
        <v>123</v>
      </c>
      <c r="Q232" s="21" t="s">
        <v>11</v>
      </c>
      <c r="R232" s="22" t="s">
        <v>12</v>
      </c>
      <c r="S232" s="21" t="s">
        <v>13</v>
      </c>
      <c r="T232" s="22" t="s">
        <v>14</v>
      </c>
      <c r="U232" s="21" t="s">
        <v>15</v>
      </c>
      <c r="V232" s="22" t="s">
        <v>16</v>
      </c>
      <c r="W232" s="21" t="s">
        <v>17</v>
      </c>
      <c r="X232" s="22" t="s">
        <v>18</v>
      </c>
      <c r="Y232" s="21" t="s">
        <v>19</v>
      </c>
      <c r="Z232" s="21" t="s">
        <v>20</v>
      </c>
    </row>
    <row r="233" spans="1:26" ht="13.9" hidden="1" customHeight="1" x14ac:dyDescent="0.25">
      <c r="A233" s="15">
        <v>4</v>
      </c>
      <c r="B233" s="15">
        <v>3</v>
      </c>
      <c r="D233" s="51" t="s">
        <v>195</v>
      </c>
      <c r="E233" s="24">
        <v>630</v>
      </c>
      <c r="F233" s="24" t="s">
        <v>133</v>
      </c>
      <c r="G233" s="46">
        <v>0</v>
      </c>
      <c r="H233" s="46">
        <v>730.89</v>
      </c>
      <c r="I233" s="25">
        <v>0</v>
      </c>
      <c r="J233" s="25">
        <v>0</v>
      </c>
      <c r="K233" s="25">
        <v>0</v>
      </c>
      <c r="L233" s="25"/>
      <c r="M233" s="25"/>
      <c r="N233" s="25"/>
      <c r="O233" s="25"/>
      <c r="P233" s="46">
        <f>K233+SUM(L233:O233)</f>
        <v>0</v>
      </c>
      <c r="Q233" s="46"/>
      <c r="R233" s="47">
        <f t="shared" ref="R233:R242" si="132">IFERROR(Q233/$P233,0)</f>
        <v>0</v>
      </c>
      <c r="S233" s="46"/>
      <c r="T233" s="47">
        <f t="shared" ref="T233:T242" si="133">IFERROR(S233/$P233,0)</f>
        <v>0</v>
      </c>
      <c r="U233" s="46"/>
      <c r="V233" s="47">
        <f t="shared" ref="V233:V242" si="134">IFERROR(U233/$P233,0)</f>
        <v>0</v>
      </c>
      <c r="W233" s="46"/>
      <c r="X233" s="47">
        <f t="shared" ref="X233:X242" si="135">IFERROR(W233/$P233,0)</f>
        <v>0</v>
      </c>
      <c r="Y233" s="25">
        <v>0</v>
      </c>
      <c r="Z233" s="25">
        <v>0</v>
      </c>
    </row>
    <row r="234" spans="1:26" ht="13.9" hidden="1" customHeight="1" x14ac:dyDescent="0.25">
      <c r="A234" s="15">
        <v>4</v>
      </c>
      <c r="B234" s="15">
        <v>3</v>
      </c>
      <c r="D234" s="79" t="s">
        <v>21</v>
      </c>
      <c r="E234" s="48">
        <v>111</v>
      </c>
      <c r="F234" s="48" t="s">
        <v>23</v>
      </c>
      <c r="G234" s="49">
        <f t="shared" ref="G234:Q234" si="136">SUM(G233)</f>
        <v>0</v>
      </c>
      <c r="H234" s="49">
        <f t="shared" si="136"/>
        <v>730.89</v>
      </c>
      <c r="I234" s="49">
        <f t="shared" si="136"/>
        <v>0</v>
      </c>
      <c r="J234" s="49">
        <f t="shared" si="136"/>
        <v>0</v>
      </c>
      <c r="K234" s="49">
        <f t="shared" si="136"/>
        <v>0</v>
      </c>
      <c r="L234" s="49">
        <f t="shared" si="136"/>
        <v>0</v>
      </c>
      <c r="M234" s="49">
        <f t="shared" si="136"/>
        <v>0</v>
      </c>
      <c r="N234" s="49">
        <f t="shared" si="136"/>
        <v>0</v>
      </c>
      <c r="O234" s="49">
        <f t="shared" si="136"/>
        <v>0</v>
      </c>
      <c r="P234" s="49">
        <f t="shared" si="136"/>
        <v>0</v>
      </c>
      <c r="Q234" s="49">
        <f t="shared" si="136"/>
        <v>0</v>
      </c>
      <c r="R234" s="50">
        <f t="shared" si="132"/>
        <v>0</v>
      </c>
      <c r="S234" s="49">
        <f>SUM(S233)</f>
        <v>0</v>
      </c>
      <c r="T234" s="50">
        <f t="shared" si="133"/>
        <v>0</v>
      </c>
      <c r="U234" s="49">
        <f>SUM(U233)</f>
        <v>0</v>
      </c>
      <c r="V234" s="50">
        <f t="shared" si="134"/>
        <v>0</v>
      </c>
      <c r="W234" s="49">
        <f>SUM(W233)</f>
        <v>0</v>
      </c>
      <c r="X234" s="50">
        <f t="shared" si="135"/>
        <v>0</v>
      </c>
      <c r="Y234" s="49">
        <f>SUM(Y233)</f>
        <v>0</v>
      </c>
      <c r="Z234" s="49">
        <f>SUM(Z233)</f>
        <v>0</v>
      </c>
    </row>
    <row r="235" spans="1:26" ht="13.9" customHeight="1" x14ac:dyDescent="0.25">
      <c r="A235" s="15">
        <v>4</v>
      </c>
      <c r="B235" s="15">
        <v>3</v>
      </c>
      <c r="D235" s="11" t="s">
        <v>195</v>
      </c>
      <c r="E235" s="24">
        <v>610</v>
      </c>
      <c r="F235" s="24" t="s">
        <v>131</v>
      </c>
      <c r="G235" s="25">
        <v>5465.98</v>
      </c>
      <c r="H235" s="25">
        <v>2523.81</v>
      </c>
      <c r="I235" s="25">
        <v>12000</v>
      </c>
      <c r="J235" s="25">
        <v>13323</v>
      </c>
      <c r="K235" s="25">
        <v>12926</v>
      </c>
      <c r="L235" s="25"/>
      <c r="M235" s="25"/>
      <c r="N235" s="25"/>
      <c r="O235" s="25"/>
      <c r="P235" s="25">
        <f>K235+SUM(L235:O235)</f>
        <v>12926</v>
      </c>
      <c r="Q235" s="25">
        <v>3513.28</v>
      </c>
      <c r="R235" s="26">
        <f t="shared" si="132"/>
        <v>0.27179947392851617</v>
      </c>
      <c r="S235" s="25"/>
      <c r="T235" s="26">
        <f t="shared" si="133"/>
        <v>0</v>
      </c>
      <c r="U235" s="25"/>
      <c r="V235" s="26">
        <f t="shared" si="134"/>
        <v>0</v>
      </c>
      <c r="W235" s="25"/>
      <c r="X235" s="26">
        <f t="shared" si="135"/>
        <v>0</v>
      </c>
      <c r="Y235" s="25">
        <v>12732</v>
      </c>
      <c r="Z235" s="25">
        <v>13369</v>
      </c>
    </row>
    <row r="236" spans="1:26" ht="13.9" customHeight="1" x14ac:dyDescent="0.25">
      <c r="A236" s="15">
        <v>4</v>
      </c>
      <c r="B236" s="15">
        <v>3</v>
      </c>
      <c r="D236" s="11"/>
      <c r="E236" s="24">
        <v>620</v>
      </c>
      <c r="F236" s="24" t="s">
        <v>132</v>
      </c>
      <c r="G236" s="25">
        <v>1504.01</v>
      </c>
      <c r="H236" s="25">
        <v>1172.2</v>
      </c>
      <c r="I236" s="25">
        <v>3171</v>
      </c>
      <c r="J236" s="25">
        <v>4787</v>
      </c>
      <c r="K236" s="25">
        <v>3538</v>
      </c>
      <c r="L236" s="25"/>
      <c r="M236" s="25"/>
      <c r="N236" s="25"/>
      <c r="O236" s="25"/>
      <c r="P236" s="25">
        <f>K236+SUM(L236:O236)</f>
        <v>3538</v>
      </c>
      <c r="Q236" s="25">
        <v>1262.92</v>
      </c>
      <c r="R236" s="26">
        <f t="shared" si="132"/>
        <v>0.35695873374788017</v>
      </c>
      <c r="S236" s="25"/>
      <c r="T236" s="26">
        <f t="shared" si="133"/>
        <v>0</v>
      </c>
      <c r="U236" s="25"/>
      <c r="V236" s="26">
        <f t="shared" si="134"/>
        <v>0</v>
      </c>
      <c r="W236" s="25"/>
      <c r="X236" s="26">
        <f t="shared" si="135"/>
        <v>0</v>
      </c>
      <c r="Y236" s="25">
        <v>3491</v>
      </c>
      <c r="Z236" s="25">
        <v>3668</v>
      </c>
    </row>
    <row r="237" spans="1:26" ht="13.9" customHeight="1" x14ac:dyDescent="0.25">
      <c r="A237" s="15">
        <v>4</v>
      </c>
      <c r="B237" s="15">
        <v>3</v>
      </c>
      <c r="D237" s="11"/>
      <c r="E237" s="24">
        <v>630</v>
      </c>
      <c r="F237" s="24" t="s">
        <v>133</v>
      </c>
      <c r="G237" s="25">
        <v>14156.5</v>
      </c>
      <c r="H237" s="25">
        <v>14892.99</v>
      </c>
      <c r="I237" s="25">
        <f>1436+15485</f>
        <v>16921</v>
      </c>
      <c r="J237" s="25">
        <v>13948</v>
      </c>
      <c r="K237" s="25">
        <f>1482+11304</f>
        <v>12786</v>
      </c>
      <c r="L237" s="25"/>
      <c r="M237" s="25"/>
      <c r="N237" s="25"/>
      <c r="O237" s="25"/>
      <c r="P237" s="25">
        <f>K237+SUM(L237:O237)</f>
        <v>12786</v>
      </c>
      <c r="Q237" s="25">
        <v>1104.3499999999999</v>
      </c>
      <c r="R237" s="26">
        <f t="shared" si="132"/>
        <v>8.6371812920381666E-2</v>
      </c>
      <c r="S237" s="25"/>
      <c r="T237" s="26">
        <f t="shared" si="133"/>
        <v>0</v>
      </c>
      <c r="U237" s="25"/>
      <c r="V237" s="26">
        <f t="shared" si="134"/>
        <v>0</v>
      </c>
      <c r="W237" s="25"/>
      <c r="X237" s="26">
        <f t="shared" si="135"/>
        <v>0</v>
      </c>
      <c r="Y237" s="25">
        <f>1493+11304</f>
        <v>12797</v>
      </c>
      <c r="Z237" s="25">
        <f>1505+11304</f>
        <v>12809</v>
      </c>
    </row>
    <row r="238" spans="1:26" ht="13.9" hidden="1" customHeight="1" x14ac:dyDescent="0.25">
      <c r="A238" s="15">
        <v>4</v>
      </c>
      <c r="B238" s="15">
        <v>3</v>
      </c>
      <c r="D238" s="11"/>
      <c r="E238" s="24">
        <v>640</v>
      </c>
      <c r="F238" s="24" t="s">
        <v>134</v>
      </c>
      <c r="G238" s="25">
        <v>0</v>
      </c>
      <c r="H238" s="25">
        <v>0</v>
      </c>
      <c r="I238" s="46">
        <v>0</v>
      </c>
      <c r="J238" s="25">
        <v>0</v>
      </c>
      <c r="K238" s="46">
        <v>0</v>
      </c>
      <c r="L238" s="25"/>
      <c r="M238" s="25"/>
      <c r="N238" s="25"/>
      <c r="O238" s="25"/>
      <c r="P238" s="25">
        <f>K238+SUM(L238:O238)</f>
        <v>0</v>
      </c>
      <c r="Q238" s="25"/>
      <c r="R238" s="26">
        <f t="shared" si="132"/>
        <v>0</v>
      </c>
      <c r="S238" s="25"/>
      <c r="T238" s="26">
        <f t="shared" si="133"/>
        <v>0</v>
      </c>
      <c r="U238" s="25"/>
      <c r="V238" s="26">
        <f t="shared" si="134"/>
        <v>0</v>
      </c>
      <c r="W238" s="25"/>
      <c r="X238" s="26">
        <f t="shared" si="135"/>
        <v>0</v>
      </c>
      <c r="Y238" s="25">
        <v>0</v>
      </c>
      <c r="Z238" s="25">
        <v>0</v>
      </c>
    </row>
    <row r="239" spans="1:26" ht="13.9" customHeight="1" x14ac:dyDescent="0.25">
      <c r="A239" s="15">
        <v>4</v>
      </c>
      <c r="B239" s="15">
        <v>3</v>
      </c>
      <c r="D239" s="79" t="s">
        <v>21</v>
      </c>
      <c r="E239" s="48">
        <v>41</v>
      </c>
      <c r="F239" s="48" t="s">
        <v>23</v>
      </c>
      <c r="G239" s="49">
        <f t="shared" ref="G239:Q239" si="137">SUM(G235:G238)</f>
        <v>21126.489999999998</v>
      </c>
      <c r="H239" s="49">
        <f t="shared" si="137"/>
        <v>18589</v>
      </c>
      <c r="I239" s="49">
        <f t="shared" si="137"/>
        <v>32092</v>
      </c>
      <c r="J239" s="49">
        <f t="shared" si="137"/>
        <v>32058</v>
      </c>
      <c r="K239" s="49">
        <f t="shared" si="137"/>
        <v>29250</v>
      </c>
      <c r="L239" s="49">
        <f t="shared" si="137"/>
        <v>0</v>
      </c>
      <c r="M239" s="49">
        <f t="shared" si="137"/>
        <v>0</v>
      </c>
      <c r="N239" s="49">
        <f t="shared" si="137"/>
        <v>0</v>
      </c>
      <c r="O239" s="49">
        <f t="shared" si="137"/>
        <v>0</v>
      </c>
      <c r="P239" s="49">
        <f t="shared" si="137"/>
        <v>29250</v>
      </c>
      <c r="Q239" s="49">
        <f t="shared" si="137"/>
        <v>5880.5500000000011</v>
      </c>
      <c r="R239" s="50">
        <f t="shared" si="132"/>
        <v>0.20104444444444447</v>
      </c>
      <c r="S239" s="49">
        <f>SUM(S235:S238)</f>
        <v>0</v>
      </c>
      <c r="T239" s="50">
        <f t="shared" si="133"/>
        <v>0</v>
      </c>
      <c r="U239" s="49">
        <f>SUM(U235:U238)</f>
        <v>0</v>
      </c>
      <c r="V239" s="50">
        <f t="shared" si="134"/>
        <v>0</v>
      </c>
      <c r="W239" s="49">
        <f>SUM(W235:W238)</f>
        <v>0</v>
      </c>
      <c r="X239" s="50">
        <f t="shared" si="135"/>
        <v>0</v>
      </c>
      <c r="Y239" s="49">
        <f>SUM(Y235:Y238)</f>
        <v>29020</v>
      </c>
      <c r="Z239" s="49">
        <f>SUM(Z235:Z238)</f>
        <v>29846</v>
      </c>
    </row>
    <row r="240" spans="1:26" ht="13.9" customHeight="1" x14ac:dyDescent="0.25">
      <c r="A240" s="15">
        <v>4</v>
      </c>
      <c r="B240" s="15">
        <v>3</v>
      </c>
      <c r="D240" s="84" t="s">
        <v>195</v>
      </c>
      <c r="E240" s="24">
        <v>640</v>
      </c>
      <c r="F240" s="24" t="s">
        <v>134</v>
      </c>
      <c r="G240" s="25">
        <v>33.69</v>
      </c>
      <c r="H240" s="25">
        <v>49.7</v>
      </c>
      <c r="I240" s="25">
        <v>155</v>
      </c>
      <c r="J240" s="25">
        <v>165</v>
      </c>
      <c r="K240" s="25">
        <v>179</v>
      </c>
      <c r="L240" s="25"/>
      <c r="M240" s="25"/>
      <c r="N240" s="25"/>
      <c r="O240" s="25"/>
      <c r="P240" s="25">
        <f>K240+SUM(L240:O240)</f>
        <v>179</v>
      </c>
      <c r="Q240" s="25">
        <v>0</v>
      </c>
      <c r="R240" s="26">
        <f t="shared" si="132"/>
        <v>0</v>
      </c>
      <c r="S240" s="25"/>
      <c r="T240" s="26">
        <f t="shared" si="133"/>
        <v>0</v>
      </c>
      <c r="U240" s="25"/>
      <c r="V240" s="26">
        <f t="shared" si="134"/>
        <v>0</v>
      </c>
      <c r="W240" s="25"/>
      <c r="X240" s="26">
        <f t="shared" si="135"/>
        <v>0</v>
      </c>
      <c r="Y240" s="25">
        <f>K240</f>
        <v>179</v>
      </c>
      <c r="Z240" s="25">
        <f>Y240</f>
        <v>179</v>
      </c>
    </row>
    <row r="241" spans="1:26" ht="13.9" customHeight="1" x14ac:dyDescent="0.25">
      <c r="A241" s="15">
        <v>4</v>
      </c>
      <c r="B241" s="15">
        <v>3</v>
      </c>
      <c r="D241" s="79" t="s">
        <v>21</v>
      </c>
      <c r="E241" s="48">
        <v>72</v>
      </c>
      <c r="F241" s="48" t="s">
        <v>25</v>
      </c>
      <c r="G241" s="49">
        <f t="shared" ref="G241:Q241" si="138">SUM(G240)</f>
        <v>33.69</v>
      </c>
      <c r="H241" s="49">
        <f t="shared" si="138"/>
        <v>49.7</v>
      </c>
      <c r="I241" s="49">
        <f t="shared" si="138"/>
        <v>155</v>
      </c>
      <c r="J241" s="49">
        <f t="shared" si="138"/>
        <v>165</v>
      </c>
      <c r="K241" s="49">
        <f t="shared" si="138"/>
        <v>179</v>
      </c>
      <c r="L241" s="49">
        <f t="shared" si="138"/>
        <v>0</v>
      </c>
      <c r="M241" s="49">
        <f t="shared" si="138"/>
        <v>0</v>
      </c>
      <c r="N241" s="49">
        <f t="shared" si="138"/>
        <v>0</v>
      </c>
      <c r="O241" s="49">
        <f t="shared" si="138"/>
        <v>0</v>
      </c>
      <c r="P241" s="49">
        <f t="shared" si="138"/>
        <v>179</v>
      </c>
      <c r="Q241" s="49">
        <f t="shared" si="138"/>
        <v>0</v>
      </c>
      <c r="R241" s="50">
        <f t="shared" si="132"/>
        <v>0</v>
      </c>
      <c r="S241" s="49">
        <f>SUM(S240)</f>
        <v>0</v>
      </c>
      <c r="T241" s="50">
        <f t="shared" si="133"/>
        <v>0</v>
      </c>
      <c r="U241" s="49">
        <f>SUM(U240)</f>
        <v>0</v>
      </c>
      <c r="V241" s="50">
        <f t="shared" si="134"/>
        <v>0</v>
      </c>
      <c r="W241" s="49">
        <f>SUM(W240)</f>
        <v>0</v>
      </c>
      <c r="X241" s="50">
        <f t="shared" si="135"/>
        <v>0</v>
      </c>
      <c r="Y241" s="49">
        <f>SUM(Y240)</f>
        <v>179</v>
      </c>
      <c r="Z241" s="49">
        <f>SUM(Z240)</f>
        <v>179</v>
      </c>
    </row>
    <row r="242" spans="1:26" ht="13.9" customHeight="1" x14ac:dyDescent="0.25">
      <c r="A242" s="15">
        <v>4</v>
      </c>
      <c r="B242" s="15">
        <v>3</v>
      </c>
      <c r="D242" s="86"/>
      <c r="E242" s="87"/>
      <c r="F242" s="27" t="s">
        <v>126</v>
      </c>
      <c r="G242" s="28">
        <f t="shared" ref="G242:Q242" si="139">G234+G239+G241</f>
        <v>21160.179999999997</v>
      </c>
      <c r="H242" s="28">
        <f t="shared" si="139"/>
        <v>19369.59</v>
      </c>
      <c r="I242" s="28">
        <f t="shared" si="139"/>
        <v>32247</v>
      </c>
      <c r="J242" s="28">
        <f t="shared" si="139"/>
        <v>32223</v>
      </c>
      <c r="K242" s="28">
        <f t="shared" si="139"/>
        <v>29429</v>
      </c>
      <c r="L242" s="28">
        <f t="shared" si="139"/>
        <v>0</v>
      </c>
      <c r="M242" s="28">
        <f t="shared" si="139"/>
        <v>0</v>
      </c>
      <c r="N242" s="28">
        <f t="shared" si="139"/>
        <v>0</v>
      </c>
      <c r="O242" s="28">
        <f t="shared" si="139"/>
        <v>0</v>
      </c>
      <c r="P242" s="28">
        <f t="shared" si="139"/>
        <v>29429</v>
      </c>
      <c r="Q242" s="28">
        <f t="shared" si="139"/>
        <v>5880.5500000000011</v>
      </c>
      <c r="R242" s="29">
        <f t="shared" si="132"/>
        <v>0.19982160453973974</v>
      </c>
      <c r="S242" s="28">
        <f>S234+S239+S241</f>
        <v>0</v>
      </c>
      <c r="T242" s="29">
        <f t="shared" si="133"/>
        <v>0</v>
      </c>
      <c r="U242" s="28">
        <f>U234+U239+U241</f>
        <v>0</v>
      </c>
      <c r="V242" s="29">
        <f t="shared" si="134"/>
        <v>0</v>
      </c>
      <c r="W242" s="28">
        <f>W234+W239+W241</f>
        <v>0</v>
      </c>
      <c r="X242" s="29">
        <f t="shared" si="135"/>
        <v>0</v>
      </c>
      <c r="Y242" s="28">
        <f>Y234+Y239+Y241</f>
        <v>29199</v>
      </c>
      <c r="Z242" s="28">
        <f>Z234+Z239+Z241</f>
        <v>30025</v>
      </c>
    </row>
    <row r="244" spans="1:26" ht="13.9" customHeight="1" x14ac:dyDescent="0.25">
      <c r="E244" s="52" t="s">
        <v>55</v>
      </c>
      <c r="F244" s="30" t="s">
        <v>149</v>
      </c>
      <c r="G244" s="118">
        <v>927.05</v>
      </c>
      <c r="H244" s="118">
        <v>1674.48</v>
      </c>
      <c r="I244" s="118">
        <v>3790</v>
      </c>
      <c r="J244" s="118">
        <v>1286</v>
      </c>
      <c r="K244" s="118">
        <v>1285</v>
      </c>
      <c r="L244" s="118"/>
      <c r="M244" s="118"/>
      <c r="N244" s="118"/>
      <c r="O244" s="118"/>
      <c r="P244" s="118">
        <f>K244+SUM(L244:O244)</f>
        <v>1285</v>
      </c>
      <c r="Q244" s="118">
        <v>395.02</v>
      </c>
      <c r="R244" s="124">
        <f>IFERROR(Q244/$P244,0)</f>
        <v>0.30740856031128405</v>
      </c>
      <c r="S244" s="118"/>
      <c r="T244" s="124">
        <f>IFERROR(S244/$P244,0)</f>
        <v>0</v>
      </c>
      <c r="U244" s="118"/>
      <c r="V244" s="124">
        <f>IFERROR(U244/$P244,0)</f>
        <v>0</v>
      </c>
      <c r="W244" s="118"/>
      <c r="X244" s="125">
        <f>IFERROR(W244/$P244,0)</f>
        <v>0</v>
      </c>
      <c r="Y244" s="53">
        <f>K244</f>
        <v>1285</v>
      </c>
      <c r="Z244" s="56">
        <f>Y244</f>
        <v>1285</v>
      </c>
    </row>
    <row r="245" spans="1:26" ht="13.9" customHeight="1" x14ac:dyDescent="0.25">
      <c r="E245" s="57"/>
      <c r="F245" s="92" t="s">
        <v>153</v>
      </c>
      <c r="G245" s="93">
        <v>2849.99</v>
      </c>
      <c r="H245" s="93">
        <v>1674.48</v>
      </c>
      <c r="I245" s="93">
        <v>3000</v>
      </c>
      <c r="J245" s="93">
        <v>2868</v>
      </c>
      <c r="K245" s="93">
        <v>2900</v>
      </c>
      <c r="L245" s="93">
        <v>-61</v>
      </c>
      <c r="M245" s="93"/>
      <c r="N245" s="93"/>
      <c r="O245" s="93"/>
      <c r="P245" s="93">
        <f>K245+SUM(L245:O245)</f>
        <v>2839</v>
      </c>
      <c r="Q245" s="93">
        <v>0</v>
      </c>
      <c r="R245" s="94">
        <f>IFERROR(Q245/$P245,0)</f>
        <v>0</v>
      </c>
      <c r="S245" s="93"/>
      <c r="T245" s="96">
        <f>IFERROR(S245/$P245,0)</f>
        <v>0</v>
      </c>
      <c r="U245" s="93"/>
      <c r="V245" s="94">
        <f>IFERROR(U245/$P245,0)</f>
        <v>0</v>
      </c>
      <c r="W245" s="93"/>
      <c r="X245" s="60">
        <f>IFERROR(W245/$P245,0)</f>
        <v>0</v>
      </c>
      <c r="Y245" s="95">
        <f>K245</f>
        <v>2900</v>
      </c>
      <c r="Z245" s="61">
        <f>Y245</f>
        <v>2900</v>
      </c>
    </row>
    <row r="246" spans="1:26" ht="13.9" customHeight="1" x14ac:dyDescent="0.25">
      <c r="E246" s="57"/>
      <c r="F246" s="92" t="s">
        <v>198</v>
      </c>
      <c r="G246" s="95">
        <v>4232.9799999999996</v>
      </c>
      <c r="H246" s="95">
        <v>4055.44</v>
      </c>
      <c r="I246" s="95">
        <v>3811</v>
      </c>
      <c r="J246" s="95">
        <v>3816</v>
      </c>
      <c r="K246" s="95">
        <v>3816</v>
      </c>
      <c r="L246" s="95"/>
      <c r="M246" s="95"/>
      <c r="N246" s="95"/>
      <c r="O246" s="95"/>
      <c r="P246" s="95">
        <f>K246+SUM(L246:O246)</f>
        <v>3816</v>
      </c>
      <c r="Q246" s="95">
        <v>0</v>
      </c>
      <c r="R246" s="96">
        <f>IFERROR(Q246/$P246,0)</f>
        <v>0</v>
      </c>
      <c r="S246" s="95"/>
      <c r="T246" s="96">
        <f>IFERROR(S246/$P246,0)</f>
        <v>0</v>
      </c>
      <c r="U246" s="95"/>
      <c r="V246" s="96">
        <f>IFERROR(U246/$P246,0)</f>
        <v>0</v>
      </c>
      <c r="W246" s="95"/>
      <c r="X246" s="60">
        <f>IFERROR(W246/$P246,0)</f>
        <v>0</v>
      </c>
      <c r="Y246" s="95">
        <f>K246</f>
        <v>3816</v>
      </c>
      <c r="Z246" s="61">
        <f>Y246</f>
        <v>3816</v>
      </c>
    </row>
    <row r="247" spans="1:26" ht="13.9" customHeight="1" x14ac:dyDescent="0.25">
      <c r="E247" s="65"/>
      <c r="F247" s="97" t="s">
        <v>199</v>
      </c>
      <c r="G247" s="120">
        <v>3910.88</v>
      </c>
      <c r="H247" s="102">
        <v>36</v>
      </c>
      <c r="I247" s="120">
        <v>3000</v>
      </c>
      <c r="J247" s="120">
        <v>550</v>
      </c>
      <c r="K247" s="120">
        <v>1000</v>
      </c>
      <c r="L247" s="120"/>
      <c r="M247" s="120"/>
      <c r="N247" s="120"/>
      <c r="O247" s="120"/>
      <c r="P247" s="120">
        <f>K247+SUM(L247:O247)</f>
        <v>1000</v>
      </c>
      <c r="Q247" s="120">
        <v>105</v>
      </c>
      <c r="R247" s="121">
        <f>IFERROR(Q247/$P247,0)</f>
        <v>0.105</v>
      </c>
      <c r="S247" s="120"/>
      <c r="T247" s="121">
        <f>IFERROR(S247/$P247,0)</f>
        <v>0</v>
      </c>
      <c r="U247" s="120"/>
      <c r="V247" s="121">
        <f>IFERROR(U247/$P247,0)</f>
        <v>0</v>
      </c>
      <c r="W247" s="120"/>
      <c r="X247" s="122">
        <f>IFERROR(W247/$P247,0)</f>
        <v>0</v>
      </c>
      <c r="Y247" s="67">
        <f>K247</f>
        <v>1000</v>
      </c>
      <c r="Z247" s="70">
        <f>Y247</f>
        <v>1000</v>
      </c>
    </row>
    <row r="249" spans="1:26" ht="13.9" customHeight="1" x14ac:dyDescent="0.25">
      <c r="D249" s="32" t="s">
        <v>200</v>
      </c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3"/>
      <c r="S249" s="32"/>
      <c r="T249" s="33"/>
      <c r="U249" s="32"/>
      <c r="V249" s="33"/>
      <c r="W249" s="32"/>
      <c r="X249" s="33"/>
      <c r="Y249" s="32"/>
      <c r="Z249" s="32"/>
    </row>
    <row r="250" spans="1:26" ht="13.9" customHeight="1" x14ac:dyDescent="0.25">
      <c r="D250" s="21" t="s">
        <v>32</v>
      </c>
      <c r="E250" s="21" t="s">
        <v>33</v>
      </c>
      <c r="F250" s="21" t="s">
        <v>34</v>
      </c>
      <c r="G250" s="21" t="s">
        <v>1</v>
      </c>
      <c r="H250" s="21" t="s">
        <v>2</v>
      </c>
      <c r="I250" s="21" t="s">
        <v>3</v>
      </c>
      <c r="J250" s="21" t="s">
        <v>4</v>
      </c>
      <c r="K250" s="21" t="s">
        <v>5</v>
      </c>
      <c r="L250" s="21" t="s">
        <v>6</v>
      </c>
      <c r="M250" s="21" t="s">
        <v>7</v>
      </c>
      <c r="N250" s="21" t="s">
        <v>8</v>
      </c>
      <c r="O250" s="21" t="s">
        <v>9</v>
      </c>
      <c r="P250" s="21" t="s">
        <v>123</v>
      </c>
      <c r="Q250" s="21" t="s">
        <v>11</v>
      </c>
      <c r="R250" s="22" t="s">
        <v>12</v>
      </c>
      <c r="S250" s="21" t="s">
        <v>13</v>
      </c>
      <c r="T250" s="22" t="s">
        <v>14</v>
      </c>
      <c r="U250" s="21" t="s">
        <v>15</v>
      </c>
      <c r="V250" s="22" t="s">
        <v>16</v>
      </c>
      <c r="W250" s="21" t="s">
        <v>17</v>
      </c>
      <c r="X250" s="22" t="s">
        <v>18</v>
      </c>
      <c r="Y250" s="21" t="s">
        <v>19</v>
      </c>
      <c r="Z250" s="21" t="s">
        <v>20</v>
      </c>
    </row>
    <row r="251" spans="1:26" ht="13.9" customHeight="1" x14ac:dyDescent="0.25">
      <c r="A251" s="15">
        <v>5</v>
      </c>
      <c r="D251" s="12" t="s">
        <v>21</v>
      </c>
      <c r="E251" s="35">
        <v>111</v>
      </c>
      <c r="F251" s="35" t="s">
        <v>45</v>
      </c>
      <c r="G251" s="36">
        <f t="shared" ref="G251:Q251" si="140">G259+G307</f>
        <v>8602.18</v>
      </c>
      <c r="H251" s="36">
        <f t="shared" si="140"/>
        <v>22892.3</v>
      </c>
      <c r="I251" s="36">
        <f t="shared" si="140"/>
        <v>312</v>
      </c>
      <c r="J251" s="36">
        <f t="shared" si="140"/>
        <v>4563</v>
      </c>
      <c r="K251" s="36">
        <f t="shared" si="140"/>
        <v>526</v>
      </c>
      <c r="L251" s="36">
        <f t="shared" si="140"/>
        <v>0</v>
      </c>
      <c r="M251" s="36">
        <f t="shared" si="140"/>
        <v>0</v>
      </c>
      <c r="N251" s="36">
        <f t="shared" si="140"/>
        <v>0</v>
      </c>
      <c r="O251" s="36">
        <f t="shared" si="140"/>
        <v>0</v>
      </c>
      <c r="P251" s="36">
        <f t="shared" si="140"/>
        <v>526</v>
      </c>
      <c r="Q251" s="36">
        <f t="shared" si="140"/>
        <v>0</v>
      </c>
      <c r="R251" s="37">
        <f>IFERROR(Q251/$P251,0)</f>
        <v>0</v>
      </c>
      <c r="S251" s="36">
        <f>S259+S307</f>
        <v>0</v>
      </c>
      <c r="T251" s="37">
        <f>IFERROR(S251/$P251,0)</f>
        <v>0</v>
      </c>
      <c r="U251" s="36">
        <f>U259+U307</f>
        <v>0</v>
      </c>
      <c r="V251" s="37">
        <f>IFERROR(U251/$P251,0)</f>
        <v>0</v>
      </c>
      <c r="W251" s="36">
        <f>W259+W307</f>
        <v>0</v>
      </c>
      <c r="X251" s="37">
        <f>IFERROR(W251/$P251,0)</f>
        <v>0</v>
      </c>
      <c r="Y251" s="36">
        <f>Y259+Y307</f>
        <v>526</v>
      </c>
      <c r="Z251" s="36">
        <f>Z259+Z307</f>
        <v>526</v>
      </c>
    </row>
    <row r="252" spans="1:26" ht="13.9" customHeight="1" x14ac:dyDescent="0.25">
      <c r="A252" s="15">
        <v>5</v>
      </c>
      <c r="D252" s="12"/>
      <c r="E252" s="35">
        <v>41</v>
      </c>
      <c r="F252" s="35" t="s">
        <v>23</v>
      </c>
      <c r="G252" s="36">
        <f t="shared" ref="G252:Q252" si="141">G260+G308</f>
        <v>50941.99</v>
      </c>
      <c r="H252" s="36">
        <f t="shared" si="141"/>
        <v>25940.57</v>
      </c>
      <c r="I252" s="36">
        <f t="shared" si="141"/>
        <v>53297</v>
      </c>
      <c r="J252" s="36">
        <f t="shared" si="141"/>
        <v>37847</v>
      </c>
      <c r="K252" s="36">
        <f t="shared" si="141"/>
        <v>41879</v>
      </c>
      <c r="L252" s="36">
        <f t="shared" si="141"/>
        <v>0</v>
      </c>
      <c r="M252" s="36">
        <f t="shared" si="141"/>
        <v>0</v>
      </c>
      <c r="N252" s="36">
        <f t="shared" si="141"/>
        <v>0</v>
      </c>
      <c r="O252" s="36">
        <f t="shared" si="141"/>
        <v>0</v>
      </c>
      <c r="P252" s="36">
        <f t="shared" si="141"/>
        <v>41879</v>
      </c>
      <c r="Q252" s="36">
        <f t="shared" si="141"/>
        <v>10190.14</v>
      </c>
      <c r="R252" s="37">
        <f>IFERROR(Q252/$P252,0)</f>
        <v>0.24332338403495785</v>
      </c>
      <c r="S252" s="36">
        <f>S260+S308</f>
        <v>0</v>
      </c>
      <c r="T252" s="37">
        <f>IFERROR(S252/$P252,0)</f>
        <v>0</v>
      </c>
      <c r="U252" s="36">
        <f>U260+U308</f>
        <v>0</v>
      </c>
      <c r="V252" s="37">
        <f>IFERROR(U252/$P252,0)</f>
        <v>0</v>
      </c>
      <c r="W252" s="36">
        <f>W260+W308</f>
        <v>0</v>
      </c>
      <c r="X252" s="37">
        <f>IFERROR(W252/$P252,0)</f>
        <v>0</v>
      </c>
      <c r="Y252" s="36">
        <f>Y260+Y308</f>
        <v>41447</v>
      </c>
      <c r="Z252" s="36">
        <f>Z260+Z308</f>
        <v>42148</v>
      </c>
    </row>
    <row r="253" spans="1:26" ht="13.9" customHeight="1" x14ac:dyDescent="0.25">
      <c r="A253" s="15">
        <v>5</v>
      </c>
      <c r="D253" s="12"/>
      <c r="E253" s="35">
        <v>71</v>
      </c>
      <c r="F253" s="35" t="s">
        <v>24</v>
      </c>
      <c r="G253" s="36">
        <f t="shared" ref="G253:Q253" si="142">G261</f>
        <v>3000</v>
      </c>
      <c r="H253" s="36">
        <f t="shared" si="142"/>
        <v>3000</v>
      </c>
      <c r="I253" s="36">
        <f t="shared" si="142"/>
        <v>3000</v>
      </c>
      <c r="J253" s="36">
        <f t="shared" si="142"/>
        <v>3000</v>
      </c>
      <c r="K253" s="36">
        <f t="shared" si="142"/>
        <v>3000</v>
      </c>
      <c r="L253" s="36">
        <f t="shared" si="142"/>
        <v>0</v>
      </c>
      <c r="M253" s="36">
        <f t="shared" si="142"/>
        <v>0</v>
      </c>
      <c r="N253" s="36">
        <f t="shared" si="142"/>
        <v>0</v>
      </c>
      <c r="O253" s="36">
        <f t="shared" si="142"/>
        <v>0</v>
      </c>
      <c r="P253" s="36">
        <f t="shared" si="142"/>
        <v>3000</v>
      </c>
      <c r="Q253" s="36">
        <f t="shared" si="142"/>
        <v>0</v>
      </c>
      <c r="R253" s="37">
        <f>IFERROR(Q253/$P253,0)</f>
        <v>0</v>
      </c>
      <c r="S253" s="36">
        <f>S261</f>
        <v>0</v>
      </c>
      <c r="T253" s="37">
        <f>IFERROR(S253/$P253,0)</f>
        <v>0</v>
      </c>
      <c r="U253" s="36">
        <f>U261</f>
        <v>0</v>
      </c>
      <c r="V253" s="37">
        <f>IFERROR(U253/$P253,0)</f>
        <v>0</v>
      </c>
      <c r="W253" s="36">
        <f>W261</f>
        <v>0</v>
      </c>
      <c r="X253" s="37">
        <f>IFERROR(W253/$P253,0)</f>
        <v>0</v>
      </c>
      <c r="Y253" s="36">
        <f>Y261</f>
        <v>3000</v>
      </c>
      <c r="Z253" s="36">
        <f>Z261</f>
        <v>3000</v>
      </c>
    </row>
    <row r="254" spans="1:26" ht="13.9" hidden="1" customHeight="1" x14ac:dyDescent="0.25">
      <c r="A254" s="15">
        <v>5</v>
      </c>
      <c r="D254" s="12"/>
      <c r="E254" s="35">
        <v>72</v>
      </c>
      <c r="F254" s="35" t="s">
        <v>25</v>
      </c>
      <c r="G254" s="36">
        <f t="shared" ref="G254:Q254" si="143">G309</f>
        <v>138.36000000000001</v>
      </c>
      <c r="H254" s="36">
        <f t="shared" si="143"/>
        <v>0</v>
      </c>
      <c r="I254" s="36">
        <f t="shared" si="143"/>
        <v>0</v>
      </c>
      <c r="J254" s="36">
        <f t="shared" si="143"/>
        <v>0</v>
      </c>
      <c r="K254" s="36">
        <f t="shared" si="143"/>
        <v>0</v>
      </c>
      <c r="L254" s="36">
        <f t="shared" si="143"/>
        <v>0</v>
      </c>
      <c r="M254" s="36">
        <f t="shared" si="143"/>
        <v>0</v>
      </c>
      <c r="N254" s="36">
        <f t="shared" si="143"/>
        <v>0</v>
      </c>
      <c r="O254" s="36">
        <f t="shared" si="143"/>
        <v>0</v>
      </c>
      <c r="P254" s="36">
        <f t="shared" si="143"/>
        <v>0</v>
      </c>
      <c r="Q254" s="36">
        <f t="shared" si="143"/>
        <v>0</v>
      </c>
      <c r="R254" s="37">
        <f>IFERROR(Q254/$P254,0)</f>
        <v>0</v>
      </c>
      <c r="S254" s="36">
        <f>S309</f>
        <v>0</v>
      </c>
      <c r="T254" s="37">
        <f>IFERROR(S254/$P254,0)</f>
        <v>0</v>
      </c>
      <c r="U254" s="36">
        <f>U309</f>
        <v>0</v>
      </c>
      <c r="V254" s="37">
        <f>IFERROR(U254/$P254,0)</f>
        <v>0</v>
      </c>
      <c r="W254" s="36">
        <f>W309</f>
        <v>0</v>
      </c>
      <c r="X254" s="37">
        <f>IFERROR(W254/$P254,0)</f>
        <v>0</v>
      </c>
      <c r="Y254" s="36">
        <f>Y309</f>
        <v>0</v>
      </c>
      <c r="Z254" s="36">
        <f>Z309</f>
        <v>0</v>
      </c>
    </row>
    <row r="255" spans="1:26" ht="13.9" customHeight="1" x14ac:dyDescent="0.25">
      <c r="A255" s="15">
        <v>5</v>
      </c>
      <c r="D255" s="30"/>
      <c r="E255" s="31"/>
      <c r="F255" s="38" t="s">
        <v>126</v>
      </c>
      <c r="G255" s="39">
        <f t="shared" ref="G255:Q255" si="144">SUM(G251:G254)</f>
        <v>62682.53</v>
      </c>
      <c r="H255" s="39">
        <f t="shared" si="144"/>
        <v>51832.869999999995</v>
      </c>
      <c r="I255" s="39">
        <f t="shared" si="144"/>
        <v>56609</v>
      </c>
      <c r="J255" s="39">
        <f t="shared" si="144"/>
        <v>45410</v>
      </c>
      <c r="K255" s="39">
        <f t="shared" si="144"/>
        <v>45405</v>
      </c>
      <c r="L255" s="39">
        <f t="shared" si="144"/>
        <v>0</v>
      </c>
      <c r="M255" s="39">
        <f t="shared" si="144"/>
        <v>0</v>
      </c>
      <c r="N255" s="39">
        <f t="shared" si="144"/>
        <v>0</v>
      </c>
      <c r="O255" s="39">
        <f t="shared" si="144"/>
        <v>0</v>
      </c>
      <c r="P255" s="39">
        <f t="shared" si="144"/>
        <v>45405</v>
      </c>
      <c r="Q255" s="39">
        <f t="shared" si="144"/>
        <v>10190.14</v>
      </c>
      <c r="R255" s="40">
        <f>IFERROR(Q255/$P255,0)</f>
        <v>0.22442770619975771</v>
      </c>
      <c r="S255" s="39">
        <f>SUM(S251:S254)</f>
        <v>0</v>
      </c>
      <c r="T255" s="40">
        <f>IFERROR(S255/$P255,0)</f>
        <v>0</v>
      </c>
      <c r="U255" s="39">
        <f>SUM(U251:U254)</f>
        <v>0</v>
      </c>
      <c r="V255" s="40">
        <f>IFERROR(U255/$P255,0)</f>
        <v>0</v>
      </c>
      <c r="W255" s="39">
        <f>SUM(W251:W254)</f>
        <v>0</v>
      </c>
      <c r="X255" s="40">
        <f>IFERROR(W255/$P255,0)</f>
        <v>0</v>
      </c>
      <c r="Y255" s="39">
        <f>SUM(Y251:Y254)</f>
        <v>44973</v>
      </c>
      <c r="Z255" s="39">
        <f>SUM(Z251:Z254)</f>
        <v>45674</v>
      </c>
    </row>
    <row r="257" spans="1:26" ht="13.9" customHeight="1" x14ac:dyDescent="0.25">
      <c r="D257" s="41" t="s">
        <v>201</v>
      </c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2"/>
      <c r="S257" s="41"/>
      <c r="T257" s="42"/>
      <c r="U257" s="41"/>
      <c r="V257" s="42"/>
      <c r="W257" s="41"/>
      <c r="X257" s="42"/>
      <c r="Y257" s="41"/>
      <c r="Z257" s="41"/>
    </row>
    <row r="258" spans="1:26" ht="13.9" customHeight="1" x14ac:dyDescent="0.25">
      <c r="D258" s="128"/>
      <c r="E258" s="128"/>
      <c r="F258" s="128"/>
      <c r="G258" s="21" t="s">
        <v>1</v>
      </c>
      <c r="H258" s="21" t="s">
        <v>2</v>
      </c>
      <c r="I258" s="21" t="s">
        <v>3</v>
      </c>
      <c r="J258" s="21" t="s">
        <v>4</v>
      </c>
      <c r="K258" s="21" t="s">
        <v>5</v>
      </c>
      <c r="L258" s="21" t="s">
        <v>6</v>
      </c>
      <c r="M258" s="21" t="s">
        <v>7</v>
      </c>
      <c r="N258" s="21" t="s">
        <v>8</v>
      </c>
      <c r="O258" s="21" t="s">
        <v>9</v>
      </c>
      <c r="P258" s="21" t="s">
        <v>123</v>
      </c>
      <c r="Q258" s="21" t="s">
        <v>11</v>
      </c>
      <c r="R258" s="22" t="s">
        <v>12</v>
      </c>
      <c r="S258" s="21" t="s">
        <v>13</v>
      </c>
      <c r="T258" s="22" t="s">
        <v>14</v>
      </c>
      <c r="U258" s="21" t="s">
        <v>15</v>
      </c>
      <c r="V258" s="22" t="s">
        <v>16</v>
      </c>
      <c r="W258" s="21" t="s">
        <v>17</v>
      </c>
      <c r="X258" s="22" t="s">
        <v>18</v>
      </c>
      <c r="Y258" s="21" t="s">
        <v>19</v>
      </c>
      <c r="Z258" s="21" t="s">
        <v>20</v>
      </c>
    </row>
    <row r="259" spans="1:26" ht="13.9" customHeight="1" x14ac:dyDescent="0.25">
      <c r="A259" s="15">
        <v>5</v>
      </c>
      <c r="B259" s="15">
        <v>1</v>
      </c>
      <c r="D259" s="13" t="s">
        <v>21</v>
      </c>
      <c r="E259" s="24">
        <v>111</v>
      </c>
      <c r="F259" s="24" t="s">
        <v>45</v>
      </c>
      <c r="G259" s="25">
        <f t="shared" ref="G259:Q259" si="145">G267+G282+G290</f>
        <v>311.89</v>
      </c>
      <c r="H259" s="25">
        <f t="shared" si="145"/>
        <v>22232.69</v>
      </c>
      <c r="I259" s="25">
        <f t="shared" si="145"/>
        <v>312</v>
      </c>
      <c r="J259" s="25">
        <f t="shared" si="145"/>
        <v>526</v>
      </c>
      <c r="K259" s="25">
        <f t="shared" si="145"/>
        <v>526</v>
      </c>
      <c r="L259" s="25">
        <f t="shared" si="145"/>
        <v>0</v>
      </c>
      <c r="M259" s="25">
        <f t="shared" si="145"/>
        <v>0</v>
      </c>
      <c r="N259" s="25">
        <f t="shared" si="145"/>
        <v>0</v>
      </c>
      <c r="O259" s="25">
        <f t="shared" si="145"/>
        <v>0</v>
      </c>
      <c r="P259" s="25">
        <f t="shared" si="145"/>
        <v>526</v>
      </c>
      <c r="Q259" s="25">
        <f t="shared" si="145"/>
        <v>0</v>
      </c>
      <c r="R259" s="26">
        <f>IFERROR(Q259/$P259,0)</f>
        <v>0</v>
      </c>
      <c r="S259" s="25">
        <f>S267+S282+S290</f>
        <v>0</v>
      </c>
      <c r="T259" s="26">
        <f>IFERROR(S259/$P259,0)</f>
        <v>0</v>
      </c>
      <c r="U259" s="25">
        <f>U267+U282+U290</f>
        <v>0</v>
      </c>
      <c r="V259" s="26">
        <f>IFERROR(U259/$P259,0)</f>
        <v>0</v>
      </c>
      <c r="W259" s="25">
        <f>W267+W282+W290</f>
        <v>0</v>
      </c>
      <c r="X259" s="26">
        <f>IFERROR(W259/$P259,0)</f>
        <v>0</v>
      </c>
      <c r="Y259" s="25">
        <f>Y267+Y282+Y290</f>
        <v>526</v>
      </c>
      <c r="Z259" s="25">
        <f>Z267+Z282+Z290</f>
        <v>526</v>
      </c>
    </row>
    <row r="260" spans="1:26" ht="13.9" customHeight="1" x14ac:dyDescent="0.25">
      <c r="A260" s="15">
        <v>5</v>
      </c>
      <c r="B260" s="15">
        <v>1</v>
      </c>
      <c r="D260" s="13"/>
      <c r="E260" s="24">
        <v>41</v>
      </c>
      <c r="F260" s="24" t="s">
        <v>23</v>
      </c>
      <c r="G260" s="25">
        <f t="shared" ref="G260:Q260" si="146">G270+G284+G293+G302</f>
        <v>27708.37</v>
      </c>
      <c r="H260" s="25">
        <f t="shared" si="146"/>
        <v>15639.56</v>
      </c>
      <c r="I260" s="25">
        <f t="shared" si="146"/>
        <v>35772</v>
      </c>
      <c r="J260" s="25">
        <f t="shared" si="146"/>
        <v>20940</v>
      </c>
      <c r="K260" s="25">
        <f t="shared" si="146"/>
        <v>20500</v>
      </c>
      <c r="L260" s="25">
        <f t="shared" si="146"/>
        <v>0</v>
      </c>
      <c r="M260" s="25">
        <f t="shared" si="146"/>
        <v>0</v>
      </c>
      <c r="N260" s="25">
        <f t="shared" si="146"/>
        <v>0</v>
      </c>
      <c r="O260" s="25">
        <f t="shared" si="146"/>
        <v>0</v>
      </c>
      <c r="P260" s="25">
        <f t="shared" si="146"/>
        <v>20500</v>
      </c>
      <c r="Q260" s="25">
        <f t="shared" si="146"/>
        <v>5605.9900000000007</v>
      </c>
      <c r="R260" s="26">
        <f>IFERROR(Q260/$P260,0)</f>
        <v>0.27346292682926832</v>
      </c>
      <c r="S260" s="25">
        <f>S270+S284+S293+S302</f>
        <v>0</v>
      </c>
      <c r="T260" s="26">
        <f>IFERROR(S260/$P260,0)</f>
        <v>0</v>
      </c>
      <c r="U260" s="25">
        <f>U270+U284+U293+U302</f>
        <v>0</v>
      </c>
      <c r="V260" s="26">
        <f>IFERROR(U260/$P260,0)</f>
        <v>0</v>
      </c>
      <c r="W260" s="25">
        <f>W270+W284+W293+W302</f>
        <v>0</v>
      </c>
      <c r="X260" s="26">
        <f>IFERROR(W260/$P260,0)</f>
        <v>0</v>
      </c>
      <c r="Y260" s="25">
        <f>Y270+Y284+Y293+Y302</f>
        <v>20500</v>
      </c>
      <c r="Z260" s="25">
        <f>Z270+Z284+Z293+Z302</f>
        <v>20500</v>
      </c>
    </row>
    <row r="261" spans="1:26" ht="13.9" customHeight="1" x14ac:dyDescent="0.25">
      <c r="A261" s="15">
        <v>5</v>
      </c>
      <c r="B261" s="15">
        <v>1</v>
      </c>
      <c r="D261" s="13"/>
      <c r="E261" s="24">
        <v>71</v>
      </c>
      <c r="F261" s="24" t="s">
        <v>24</v>
      </c>
      <c r="G261" s="25">
        <f t="shared" ref="G261:Q261" si="147">G272</f>
        <v>3000</v>
      </c>
      <c r="H261" s="25">
        <f t="shared" si="147"/>
        <v>3000</v>
      </c>
      <c r="I261" s="25">
        <f t="shared" si="147"/>
        <v>3000</v>
      </c>
      <c r="J261" s="25">
        <f t="shared" si="147"/>
        <v>3000</v>
      </c>
      <c r="K261" s="25">
        <f t="shared" si="147"/>
        <v>3000</v>
      </c>
      <c r="L261" s="25">
        <f t="shared" si="147"/>
        <v>0</v>
      </c>
      <c r="M261" s="25">
        <f t="shared" si="147"/>
        <v>0</v>
      </c>
      <c r="N261" s="25">
        <f t="shared" si="147"/>
        <v>0</v>
      </c>
      <c r="O261" s="25">
        <f t="shared" si="147"/>
        <v>0</v>
      </c>
      <c r="P261" s="25">
        <f t="shared" si="147"/>
        <v>3000</v>
      </c>
      <c r="Q261" s="25">
        <f t="shared" si="147"/>
        <v>0</v>
      </c>
      <c r="R261" s="26">
        <f>IFERROR(Q261/$P261,0)</f>
        <v>0</v>
      </c>
      <c r="S261" s="25">
        <f>S272</f>
        <v>0</v>
      </c>
      <c r="T261" s="26">
        <f>IFERROR(S261/$P261,0)</f>
        <v>0</v>
      </c>
      <c r="U261" s="25">
        <f>U272</f>
        <v>0</v>
      </c>
      <c r="V261" s="26">
        <f>IFERROR(U261/$P261,0)</f>
        <v>0</v>
      </c>
      <c r="W261" s="25">
        <f>W272</f>
        <v>0</v>
      </c>
      <c r="X261" s="26">
        <f>IFERROR(W261/$P261,0)</f>
        <v>0</v>
      </c>
      <c r="Y261" s="25">
        <f>Y272</f>
        <v>3000</v>
      </c>
      <c r="Z261" s="25">
        <f>Z272</f>
        <v>3000</v>
      </c>
    </row>
    <row r="262" spans="1:26" ht="13.9" customHeight="1" x14ac:dyDescent="0.25">
      <c r="A262" s="15">
        <v>5</v>
      </c>
      <c r="B262" s="15">
        <v>1</v>
      </c>
      <c r="D262" s="30"/>
      <c r="E262" s="31"/>
      <c r="F262" s="27" t="s">
        <v>126</v>
      </c>
      <c r="G262" s="28">
        <f t="shared" ref="G262:Q262" si="148">SUM(G259:G261)</f>
        <v>31020.26</v>
      </c>
      <c r="H262" s="28">
        <f t="shared" si="148"/>
        <v>40872.25</v>
      </c>
      <c r="I262" s="28">
        <f t="shared" si="148"/>
        <v>39084</v>
      </c>
      <c r="J262" s="28">
        <f t="shared" si="148"/>
        <v>24466</v>
      </c>
      <c r="K262" s="28">
        <f t="shared" si="148"/>
        <v>24026</v>
      </c>
      <c r="L262" s="28">
        <f t="shared" si="148"/>
        <v>0</v>
      </c>
      <c r="M262" s="28">
        <f t="shared" si="148"/>
        <v>0</v>
      </c>
      <c r="N262" s="28">
        <f t="shared" si="148"/>
        <v>0</v>
      </c>
      <c r="O262" s="28">
        <f t="shared" si="148"/>
        <v>0</v>
      </c>
      <c r="P262" s="28">
        <f t="shared" si="148"/>
        <v>24026</v>
      </c>
      <c r="Q262" s="28">
        <f t="shared" si="148"/>
        <v>5605.9900000000007</v>
      </c>
      <c r="R262" s="29">
        <f>IFERROR(Q262/$P262,0)</f>
        <v>0.23333014234579208</v>
      </c>
      <c r="S262" s="28">
        <f>SUM(S259:S261)</f>
        <v>0</v>
      </c>
      <c r="T262" s="29">
        <f>IFERROR(S262/$P262,0)</f>
        <v>0</v>
      </c>
      <c r="U262" s="28">
        <f>SUM(U259:U261)</f>
        <v>0</v>
      </c>
      <c r="V262" s="29">
        <f>IFERROR(U262/$P262,0)</f>
        <v>0</v>
      </c>
      <c r="W262" s="28">
        <f>SUM(W259:W261)</f>
        <v>0</v>
      </c>
      <c r="X262" s="29">
        <f>IFERROR(W262/$P262,0)</f>
        <v>0</v>
      </c>
      <c r="Y262" s="28">
        <f>SUM(Y259:Y261)</f>
        <v>24026</v>
      </c>
      <c r="Z262" s="28">
        <f>SUM(Z259:Z261)</f>
        <v>24026</v>
      </c>
    </row>
    <row r="264" spans="1:26" ht="13.9" customHeight="1" x14ac:dyDescent="0.25">
      <c r="D264" s="73" t="s">
        <v>202</v>
      </c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4"/>
      <c r="S264" s="73"/>
      <c r="T264" s="74"/>
      <c r="U264" s="73"/>
      <c r="V264" s="74"/>
      <c r="W264" s="73"/>
      <c r="X264" s="74"/>
      <c r="Y264" s="73"/>
      <c r="Z264" s="73"/>
    </row>
    <row r="265" spans="1:26" ht="13.9" customHeight="1" x14ac:dyDescent="0.25">
      <c r="D265" s="21" t="s">
        <v>32</v>
      </c>
      <c r="E265" s="21" t="s">
        <v>33</v>
      </c>
      <c r="F265" s="21" t="s">
        <v>34</v>
      </c>
      <c r="G265" s="21" t="s">
        <v>1</v>
      </c>
      <c r="H265" s="21" t="s">
        <v>2</v>
      </c>
      <c r="I265" s="21" t="s">
        <v>3</v>
      </c>
      <c r="J265" s="21" t="s">
        <v>4</v>
      </c>
      <c r="K265" s="21" t="s">
        <v>5</v>
      </c>
      <c r="L265" s="21" t="s">
        <v>6</v>
      </c>
      <c r="M265" s="21" t="s">
        <v>7</v>
      </c>
      <c r="N265" s="21" t="s">
        <v>8</v>
      </c>
      <c r="O265" s="21" t="s">
        <v>9</v>
      </c>
      <c r="P265" s="21" t="s">
        <v>123</v>
      </c>
      <c r="Q265" s="21" t="s">
        <v>11</v>
      </c>
      <c r="R265" s="22" t="s">
        <v>12</v>
      </c>
      <c r="S265" s="21" t="s">
        <v>13</v>
      </c>
      <c r="T265" s="22" t="s">
        <v>14</v>
      </c>
      <c r="U265" s="21" t="s">
        <v>15</v>
      </c>
      <c r="V265" s="22" t="s">
        <v>16</v>
      </c>
      <c r="W265" s="21" t="s">
        <v>17</v>
      </c>
      <c r="X265" s="22" t="s">
        <v>18</v>
      </c>
      <c r="Y265" s="21" t="s">
        <v>19</v>
      </c>
      <c r="Z265" s="21" t="s">
        <v>20</v>
      </c>
    </row>
    <row r="266" spans="1:26" ht="13.9" customHeight="1" x14ac:dyDescent="0.25">
      <c r="A266" s="15">
        <v>5</v>
      </c>
      <c r="B266" s="15">
        <v>1</v>
      </c>
      <c r="C266" s="15">
        <v>1</v>
      </c>
      <c r="D266" s="51" t="s">
        <v>203</v>
      </c>
      <c r="E266" s="24">
        <v>630</v>
      </c>
      <c r="F266" s="24" t="s">
        <v>133</v>
      </c>
      <c r="G266" s="46">
        <v>0</v>
      </c>
      <c r="H266" s="46">
        <v>303.02999999999997</v>
      </c>
      <c r="I266" s="25">
        <v>0</v>
      </c>
      <c r="J266" s="25">
        <v>214</v>
      </c>
      <c r="K266" s="25">
        <f>príjmy!H103</f>
        <v>214</v>
      </c>
      <c r="L266" s="25"/>
      <c r="M266" s="25"/>
      <c r="N266" s="25"/>
      <c r="O266" s="25"/>
      <c r="P266" s="46">
        <f>K266+SUM(L266:O266)</f>
        <v>214</v>
      </c>
      <c r="Q266" s="46">
        <v>0</v>
      </c>
      <c r="R266" s="47">
        <f t="shared" ref="R266:R273" si="149">IFERROR(Q266/$P266,0)</f>
        <v>0</v>
      </c>
      <c r="S266" s="46"/>
      <c r="T266" s="47">
        <f t="shared" ref="T266:T273" si="150">IFERROR(S266/$P266,0)</f>
        <v>0</v>
      </c>
      <c r="U266" s="46"/>
      <c r="V266" s="47">
        <f t="shared" ref="V266:V273" si="151">IFERROR(U266/$P266,0)</f>
        <v>0</v>
      </c>
      <c r="W266" s="46"/>
      <c r="X266" s="47">
        <f t="shared" ref="X266:X273" si="152">IFERROR(W266/$P266,0)</f>
        <v>0</v>
      </c>
      <c r="Y266" s="25">
        <f>príjmy!V103</f>
        <v>214</v>
      </c>
      <c r="Z266" s="25">
        <f>príjmy!W103</f>
        <v>214</v>
      </c>
    </row>
    <row r="267" spans="1:26" ht="13.9" customHeight="1" x14ac:dyDescent="0.25">
      <c r="A267" s="15">
        <v>5</v>
      </c>
      <c r="B267" s="15">
        <v>1</v>
      </c>
      <c r="C267" s="15">
        <v>1</v>
      </c>
      <c r="D267" s="79" t="s">
        <v>21</v>
      </c>
      <c r="E267" s="48">
        <v>111</v>
      </c>
      <c r="F267" s="48" t="s">
        <v>23</v>
      </c>
      <c r="G267" s="49">
        <f t="shared" ref="G267:Q267" si="153">SUM(G266)</f>
        <v>0</v>
      </c>
      <c r="H267" s="49">
        <f t="shared" si="153"/>
        <v>303.02999999999997</v>
      </c>
      <c r="I267" s="49">
        <f t="shared" si="153"/>
        <v>0</v>
      </c>
      <c r="J267" s="49">
        <f t="shared" si="153"/>
        <v>214</v>
      </c>
      <c r="K267" s="49">
        <f t="shared" si="153"/>
        <v>214</v>
      </c>
      <c r="L267" s="49">
        <f t="shared" si="153"/>
        <v>0</v>
      </c>
      <c r="M267" s="49">
        <f t="shared" si="153"/>
        <v>0</v>
      </c>
      <c r="N267" s="49">
        <f t="shared" si="153"/>
        <v>0</v>
      </c>
      <c r="O267" s="49">
        <f t="shared" si="153"/>
        <v>0</v>
      </c>
      <c r="P267" s="49">
        <f t="shared" si="153"/>
        <v>214</v>
      </c>
      <c r="Q267" s="49">
        <f t="shared" si="153"/>
        <v>0</v>
      </c>
      <c r="R267" s="50">
        <f t="shared" si="149"/>
        <v>0</v>
      </c>
      <c r="S267" s="49">
        <f>SUM(S266)</f>
        <v>0</v>
      </c>
      <c r="T267" s="50">
        <f t="shared" si="150"/>
        <v>0</v>
      </c>
      <c r="U267" s="49">
        <f>SUM(U266)</f>
        <v>0</v>
      </c>
      <c r="V267" s="50">
        <f t="shared" si="151"/>
        <v>0</v>
      </c>
      <c r="W267" s="49">
        <f>SUM(W266)</f>
        <v>0</v>
      </c>
      <c r="X267" s="50">
        <f t="shared" si="152"/>
        <v>0</v>
      </c>
      <c r="Y267" s="49">
        <f>SUM(Y266)</f>
        <v>214</v>
      </c>
      <c r="Z267" s="49">
        <f>SUM(Z266)</f>
        <v>214</v>
      </c>
    </row>
    <row r="268" spans="1:26" ht="13.9" customHeight="1" x14ac:dyDescent="0.25">
      <c r="A268" s="15">
        <v>5</v>
      </c>
      <c r="B268" s="15">
        <v>1</v>
      </c>
      <c r="C268" s="15">
        <v>1</v>
      </c>
      <c r="D268" s="5" t="s">
        <v>203</v>
      </c>
      <c r="E268" s="24">
        <v>630</v>
      </c>
      <c r="F268" s="24" t="s">
        <v>133</v>
      </c>
      <c r="G268" s="25">
        <v>2106.09</v>
      </c>
      <c r="H268" s="25">
        <v>3797.18</v>
      </c>
      <c r="I268" s="25">
        <v>3969</v>
      </c>
      <c r="J268" s="25">
        <v>1968</v>
      </c>
      <c r="K268" s="25">
        <v>1982</v>
      </c>
      <c r="L268" s="25"/>
      <c r="M268" s="25"/>
      <c r="N268" s="25"/>
      <c r="O268" s="25"/>
      <c r="P268" s="25">
        <f>K268+SUM(L268:O268)</f>
        <v>1982</v>
      </c>
      <c r="Q268" s="25">
        <v>329.31</v>
      </c>
      <c r="R268" s="26">
        <f t="shared" si="149"/>
        <v>0.16615035317860746</v>
      </c>
      <c r="S268" s="25"/>
      <c r="T268" s="26">
        <f t="shared" si="150"/>
        <v>0</v>
      </c>
      <c r="U268" s="25"/>
      <c r="V268" s="26">
        <f t="shared" si="151"/>
        <v>0</v>
      </c>
      <c r="W268" s="25"/>
      <c r="X268" s="26">
        <f t="shared" si="152"/>
        <v>0</v>
      </c>
      <c r="Y268" s="25">
        <f>K268</f>
        <v>1982</v>
      </c>
      <c r="Z268" s="25">
        <f>Y268</f>
        <v>1982</v>
      </c>
    </row>
    <row r="269" spans="1:26" ht="13.9" customHeight="1" x14ac:dyDescent="0.25">
      <c r="A269" s="15">
        <v>5</v>
      </c>
      <c r="B269" s="15">
        <v>1</v>
      </c>
      <c r="C269" s="15">
        <v>1</v>
      </c>
      <c r="D269" s="5"/>
      <c r="E269" s="24">
        <v>640</v>
      </c>
      <c r="F269" s="24" t="s">
        <v>134</v>
      </c>
      <c r="G269" s="46">
        <v>6840</v>
      </c>
      <c r="H269" s="46">
        <v>2440</v>
      </c>
      <c r="I269" s="46">
        <v>1800</v>
      </c>
      <c r="J269" s="46">
        <v>1800</v>
      </c>
      <c r="K269" s="46">
        <v>2400</v>
      </c>
      <c r="L269" s="46"/>
      <c r="M269" s="46"/>
      <c r="N269" s="46"/>
      <c r="O269" s="46"/>
      <c r="P269" s="46">
        <f>K269+SUM(L269:O269)</f>
        <v>2400</v>
      </c>
      <c r="Q269" s="46">
        <v>0</v>
      </c>
      <c r="R269" s="47">
        <f t="shared" si="149"/>
        <v>0</v>
      </c>
      <c r="S269" s="46"/>
      <c r="T269" s="47">
        <f t="shared" si="150"/>
        <v>0</v>
      </c>
      <c r="U269" s="46"/>
      <c r="V269" s="47">
        <f t="shared" si="151"/>
        <v>0</v>
      </c>
      <c r="W269" s="46"/>
      <c r="X269" s="47">
        <f t="shared" si="152"/>
        <v>0</v>
      </c>
      <c r="Y269" s="25">
        <f>K269</f>
        <v>2400</v>
      </c>
      <c r="Z269" s="25">
        <f>Y269</f>
        <v>2400</v>
      </c>
    </row>
    <row r="270" spans="1:26" ht="13.9" customHeight="1" x14ac:dyDescent="0.25">
      <c r="A270" s="15">
        <v>5</v>
      </c>
      <c r="B270" s="15">
        <v>1</v>
      </c>
      <c r="C270" s="15">
        <v>1</v>
      </c>
      <c r="D270" s="79" t="s">
        <v>21</v>
      </c>
      <c r="E270" s="48">
        <v>41</v>
      </c>
      <c r="F270" s="48" t="s">
        <v>23</v>
      </c>
      <c r="G270" s="49">
        <f t="shared" ref="G270:Q270" si="154">SUM(G268:G269)</f>
        <v>8946.09</v>
      </c>
      <c r="H270" s="49">
        <f t="shared" si="154"/>
        <v>6237.18</v>
      </c>
      <c r="I270" s="49">
        <f t="shared" si="154"/>
        <v>5769</v>
      </c>
      <c r="J270" s="49">
        <f t="shared" si="154"/>
        <v>3768</v>
      </c>
      <c r="K270" s="49">
        <f t="shared" si="154"/>
        <v>4382</v>
      </c>
      <c r="L270" s="49">
        <f t="shared" si="154"/>
        <v>0</v>
      </c>
      <c r="M270" s="49">
        <f t="shared" si="154"/>
        <v>0</v>
      </c>
      <c r="N270" s="49">
        <f t="shared" si="154"/>
        <v>0</v>
      </c>
      <c r="O270" s="49">
        <f t="shared" si="154"/>
        <v>0</v>
      </c>
      <c r="P270" s="49">
        <f t="shared" si="154"/>
        <v>4382</v>
      </c>
      <c r="Q270" s="49">
        <f t="shared" si="154"/>
        <v>329.31</v>
      </c>
      <c r="R270" s="50">
        <f t="shared" si="149"/>
        <v>7.5150616157005939E-2</v>
      </c>
      <c r="S270" s="49">
        <f>SUM(S268:S269)</f>
        <v>0</v>
      </c>
      <c r="T270" s="50">
        <f t="shared" si="150"/>
        <v>0</v>
      </c>
      <c r="U270" s="49">
        <f>SUM(U268:U269)</f>
        <v>0</v>
      </c>
      <c r="V270" s="50">
        <f t="shared" si="151"/>
        <v>0</v>
      </c>
      <c r="W270" s="49">
        <f>SUM(W268:W269)</f>
        <v>0</v>
      </c>
      <c r="X270" s="50">
        <f t="shared" si="152"/>
        <v>0</v>
      </c>
      <c r="Y270" s="49">
        <f>SUM(Y268:Y269)</f>
        <v>4382</v>
      </c>
      <c r="Z270" s="49">
        <f>SUM(Z268:Z269)</f>
        <v>4382</v>
      </c>
    </row>
    <row r="271" spans="1:26" ht="13.9" customHeight="1" x14ac:dyDescent="0.25">
      <c r="A271" s="15">
        <v>5</v>
      </c>
      <c r="B271" s="15">
        <v>1</v>
      </c>
      <c r="C271" s="15">
        <v>1</v>
      </c>
      <c r="D271" s="91" t="s">
        <v>203</v>
      </c>
      <c r="E271" s="24">
        <v>630</v>
      </c>
      <c r="F271" s="24" t="s">
        <v>133</v>
      </c>
      <c r="G271" s="25">
        <v>3000</v>
      </c>
      <c r="H271" s="25">
        <v>3000</v>
      </c>
      <c r="I271" s="25">
        <v>3000</v>
      </c>
      <c r="J271" s="25">
        <v>3000</v>
      </c>
      <c r="K271" s="25">
        <v>3000</v>
      </c>
      <c r="L271" s="25"/>
      <c r="M271" s="25"/>
      <c r="N271" s="25"/>
      <c r="O271" s="25"/>
      <c r="P271" s="25">
        <f>K271+SUM(L271:O271)</f>
        <v>3000</v>
      </c>
      <c r="Q271" s="25">
        <v>0</v>
      </c>
      <c r="R271" s="26">
        <f t="shared" si="149"/>
        <v>0</v>
      </c>
      <c r="S271" s="25"/>
      <c r="T271" s="26">
        <f t="shared" si="150"/>
        <v>0</v>
      </c>
      <c r="U271" s="25"/>
      <c r="V271" s="26">
        <f t="shared" si="151"/>
        <v>0</v>
      </c>
      <c r="W271" s="25"/>
      <c r="X271" s="26">
        <f t="shared" si="152"/>
        <v>0</v>
      </c>
      <c r="Y271" s="25">
        <f>príjmy!V121</f>
        <v>3000</v>
      </c>
      <c r="Z271" s="25">
        <f>príjmy!W121</f>
        <v>3000</v>
      </c>
    </row>
    <row r="272" spans="1:26" ht="13.9" customHeight="1" x14ac:dyDescent="0.25">
      <c r="A272" s="15">
        <v>5</v>
      </c>
      <c r="B272" s="15">
        <v>1</v>
      </c>
      <c r="C272" s="15">
        <v>1</v>
      </c>
      <c r="D272" s="79" t="s">
        <v>21</v>
      </c>
      <c r="E272" s="48">
        <v>71</v>
      </c>
      <c r="F272" s="48" t="s">
        <v>24</v>
      </c>
      <c r="G272" s="49">
        <f t="shared" ref="G272:Q272" si="155">SUM(G271)</f>
        <v>3000</v>
      </c>
      <c r="H272" s="49">
        <f t="shared" si="155"/>
        <v>3000</v>
      </c>
      <c r="I272" s="49">
        <f t="shared" si="155"/>
        <v>3000</v>
      </c>
      <c r="J272" s="49">
        <f t="shared" si="155"/>
        <v>3000</v>
      </c>
      <c r="K272" s="49">
        <f t="shared" si="155"/>
        <v>3000</v>
      </c>
      <c r="L272" s="49">
        <f t="shared" si="155"/>
        <v>0</v>
      </c>
      <c r="M272" s="49">
        <f t="shared" si="155"/>
        <v>0</v>
      </c>
      <c r="N272" s="49">
        <f t="shared" si="155"/>
        <v>0</v>
      </c>
      <c r="O272" s="49">
        <f t="shared" si="155"/>
        <v>0</v>
      </c>
      <c r="P272" s="49">
        <f t="shared" si="155"/>
        <v>3000</v>
      </c>
      <c r="Q272" s="49">
        <f t="shared" si="155"/>
        <v>0</v>
      </c>
      <c r="R272" s="50">
        <f t="shared" si="149"/>
        <v>0</v>
      </c>
      <c r="S272" s="49">
        <f>SUM(S271)</f>
        <v>0</v>
      </c>
      <c r="T272" s="50">
        <f t="shared" si="150"/>
        <v>0</v>
      </c>
      <c r="U272" s="49">
        <f>SUM(U271)</f>
        <v>0</v>
      </c>
      <c r="V272" s="50">
        <f t="shared" si="151"/>
        <v>0</v>
      </c>
      <c r="W272" s="49">
        <f>SUM(W271)</f>
        <v>0</v>
      </c>
      <c r="X272" s="50">
        <f t="shared" si="152"/>
        <v>0</v>
      </c>
      <c r="Y272" s="49">
        <f>SUM(Y271)</f>
        <v>3000</v>
      </c>
      <c r="Z272" s="49">
        <f>SUM(Z271)</f>
        <v>3000</v>
      </c>
    </row>
    <row r="273" spans="1:26" ht="13.9" customHeight="1" x14ac:dyDescent="0.25">
      <c r="A273" s="15">
        <v>5</v>
      </c>
      <c r="B273" s="15">
        <v>1</v>
      </c>
      <c r="C273" s="15">
        <v>1</v>
      </c>
      <c r="D273" s="123"/>
      <c r="E273" s="31"/>
      <c r="F273" s="27" t="s">
        <v>126</v>
      </c>
      <c r="G273" s="28">
        <f t="shared" ref="G273:Q273" si="156">G267+G270+G272</f>
        <v>11946.09</v>
      </c>
      <c r="H273" s="28">
        <f t="shared" si="156"/>
        <v>9540.2099999999991</v>
      </c>
      <c r="I273" s="28">
        <f t="shared" si="156"/>
        <v>8769</v>
      </c>
      <c r="J273" s="28">
        <f t="shared" si="156"/>
        <v>6982</v>
      </c>
      <c r="K273" s="28">
        <f t="shared" si="156"/>
        <v>7596</v>
      </c>
      <c r="L273" s="28">
        <f t="shared" si="156"/>
        <v>0</v>
      </c>
      <c r="M273" s="28">
        <f t="shared" si="156"/>
        <v>0</v>
      </c>
      <c r="N273" s="28">
        <f t="shared" si="156"/>
        <v>0</v>
      </c>
      <c r="O273" s="28">
        <f t="shared" si="156"/>
        <v>0</v>
      </c>
      <c r="P273" s="28">
        <f t="shared" si="156"/>
        <v>7596</v>
      </c>
      <c r="Q273" s="28">
        <f t="shared" si="156"/>
        <v>329.31</v>
      </c>
      <c r="R273" s="29">
        <f t="shared" si="149"/>
        <v>4.3353080568720379E-2</v>
      </c>
      <c r="S273" s="28">
        <f>S267+S270+S272</f>
        <v>0</v>
      </c>
      <c r="T273" s="29">
        <f t="shared" si="150"/>
        <v>0</v>
      </c>
      <c r="U273" s="28">
        <f>U267+U270+U272</f>
        <v>0</v>
      </c>
      <c r="V273" s="29">
        <f t="shared" si="151"/>
        <v>0</v>
      </c>
      <c r="W273" s="28">
        <f>W267+W270+W272</f>
        <v>0</v>
      </c>
      <c r="X273" s="29">
        <f t="shared" si="152"/>
        <v>0</v>
      </c>
      <c r="Y273" s="28">
        <f>Y267+Y270+Y272</f>
        <v>7596</v>
      </c>
      <c r="Z273" s="28">
        <f>Z267+Z270+Z272</f>
        <v>7596</v>
      </c>
    </row>
    <row r="275" spans="1:26" ht="13.9" customHeight="1" x14ac:dyDescent="0.25">
      <c r="E275" s="116" t="s">
        <v>55</v>
      </c>
      <c r="F275" s="129" t="s">
        <v>149</v>
      </c>
      <c r="G275" s="130">
        <v>308</v>
      </c>
      <c r="H275" s="130">
        <v>1800.64</v>
      </c>
      <c r="I275" s="130">
        <v>1801</v>
      </c>
      <c r="J275" s="130">
        <v>642</v>
      </c>
      <c r="K275" s="130">
        <v>640</v>
      </c>
      <c r="L275" s="130"/>
      <c r="M275" s="130"/>
      <c r="N275" s="130"/>
      <c r="O275" s="130"/>
      <c r="P275" s="130">
        <f>K275+SUM(L275:O275)</f>
        <v>640</v>
      </c>
      <c r="Q275" s="130">
        <v>194.4</v>
      </c>
      <c r="R275" s="131">
        <f>IFERROR(Q275/$P275,0)</f>
        <v>0.30375000000000002</v>
      </c>
      <c r="S275" s="130"/>
      <c r="T275" s="131">
        <f>IFERROR(S275/$P275,0)</f>
        <v>0</v>
      </c>
      <c r="U275" s="130"/>
      <c r="V275" s="131">
        <f>IFERROR(U275/$P275,0)</f>
        <v>0</v>
      </c>
      <c r="W275" s="130"/>
      <c r="X275" s="132">
        <f>IFERROR(W275/$P275,0)</f>
        <v>0</v>
      </c>
      <c r="Y275" s="130">
        <f>K275</f>
        <v>640</v>
      </c>
      <c r="Z275" s="133">
        <f>Y275</f>
        <v>640</v>
      </c>
    </row>
    <row r="277" spans="1:26" ht="13.9" customHeight="1" x14ac:dyDescent="0.25">
      <c r="D277" s="73" t="s">
        <v>204</v>
      </c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4"/>
      <c r="S277" s="73"/>
      <c r="T277" s="74"/>
      <c r="U277" s="73"/>
      <c r="V277" s="74"/>
      <c r="W277" s="73"/>
      <c r="X277" s="74"/>
      <c r="Y277" s="73"/>
      <c r="Z277" s="73"/>
    </row>
    <row r="278" spans="1:26" ht="13.9" customHeight="1" x14ac:dyDescent="0.25">
      <c r="D278" s="21" t="s">
        <v>32</v>
      </c>
      <c r="E278" s="21" t="s">
        <v>33</v>
      </c>
      <c r="F278" s="21" t="s">
        <v>34</v>
      </c>
      <c r="G278" s="21" t="s">
        <v>1</v>
      </c>
      <c r="H278" s="21" t="s">
        <v>2</v>
      </c>
      <c r="I278" s="21" t="s">
        <v>3</v>
      </c>
      <c r="J278" s="21" t="s">
        <v>4</v>
      </c>
      <c r="K278" s="21" t="s">
        <v>5</v>
      </c>
      <c r="L278" s="21" t="s">
        <v>6</v>
      </c>
      <c r="M278" s="21" t="s">
        <v>7</v>
      </c>
      <c r="N278" s="21" t="s">
        <v>8</v>
      </c>
      <c r="O278" s="21" t="s">
        <v>9</v>
      </c>
      <c r="P278" s="21" t="s">
        <v>123</v>
      </c>
      <c r="Q278" s="21" t="s">
        <v>11</v>
      </c>
      <c r="R278" s="22" t="s">
        <v>12</v>
      </c>
      <c r="S278" s="21" t="s">
        <v>13</v>
      </c>
      <c r="T278" s="22" t="s">
        <v>14</v>
      </c>
      <c r="U278" s="21" t="s">
        <v>15</v>
      </c>
      <c r="V278" s="22" t="s">
        <v>16</v>
      </c>
      <c r="W278" s="21" t="s">
        <v>17</v>
      </c>
      <c r="X278" s="22" t="s">
        <v>18</v>
      </c>
      <c r="Y278" s="21" t="s">
        <v>19</v>
      </c>
      <c r="Z278" s="21" t="s">
        <v>20</v>
      </c>
    </row>
    <row r="279" spans="1:26" ht="13.9" customHeight="1" x14ac:dyDescent="0.25">
      <c r="A279" s="15">
        <v>5</v>
      </c>
      <c r="B279" s="15">
        <v>1</v>
      </c>
      <c r="C279" s="15">
        <v>2</v>
      </c>
      <c r="D279" s="11" t="s">
        <v>205</v>
      </c>
      <c r="E279" s="24">
        <v>610</v>
      </c>
      <c r="F279" s="24" t="s">
        <v>131</v>
      </c>
      <c r="G279" s="25">
        <v>231.15</v>
      </c>
      <c r="H279" s="25">
        <v>250.43</v>
      </c>
      <c r="I279" s="25">
        <v>231</v>
      </c>
      <c r="J279" s="25">
        <v>231</v>
      </c>
      <c r="K279" s="25">
        <v>231</v>
      </c>
      <c r="L279" s="25"/>
      <c r="M279" s="25"/>
      <c r="N279" s="25"/>
      <c r="O279" s="25"/>
      <c r="P279" s="25">
        <f>K279+SUM(L279:O279)</f>
        <v>231</v>
      </c>
      <c r="Q279" s="25">
        <v>0</v>
      </c>
      <c r="R279" s="26">
        <f t="shared" ref="R279:R285" si="157">IFERROR(Q279/$P279,0)</f>
        <v>0</v>
      </c>
      <c r="S279" s="25"/>
      <c r="T279" s="26">
        <f t="shared" ref="T279:T285" si="158">IFERROR(S279/$P279,0)</f>
        <v>0</v>
      </c>
      <c r="U279" s="25"/>
      <c r="V279" s="26">
        <f t="shared" ref="V279:V285" si="159">IFERROR(U279/$P279,0)</f>
        <v>0</v>
      </c>
      <c r="W279" s="25"/>
      <c r="X279" s="26">
        <f t="shared" ref="X279:X285" si="160">IFERROR(W279/$P279,0)</f>
        <v>0</v>
      </c>
      <c r="Y279" s="25">
        <f>K279</f>
        <v>231</v>
      </c>
      <c r="Z279" s="25">
        <f>Y279</f>
        <v>231</v>
      </c>
    </row>
    <row r="280" spans="1:26" ht="13.9" customHeight="1" x14ac:dyDescent="0.25">
      <c r="A280" s="15">
        <v>5</v>
      </c>
      <c r="B280" s="15">
        <v>1</v>
      </c>
      <c r="C280" s="15">
        <v>2</v>
      </c>
      <c r="D280" s="11" t="s">
        <v>205</v>
      </c>
      <c r="E280" s="24">
        <v>620</v>
      </c>
      <c r="F280" s="24" t="s">
        <v>132</v>
      </c>
      <c r="G280" s="25">
        <v>80.739999999999995</v>
      </c>
      <c r="H280" s="25">
        <v>87.5</v>
      </c>
      <c r="I280" s="25">
        <v>81</v>
      </c>
      <c r="J280" s="25">
        <v>81</v>
      </c>
      <c r="K280" s="25">
        <v>81</v>
      </c>
      <c r="L280" s="25"/>
      <c r="M280" s="25"/>
      <c r="N280" s="25"/>
      <c r="O280" s="25"/>
      <c r="P280" s="25">
        <f>K280+SUM(L280:O280)</f>
        <v>81</v>
      </c>
      <c r="Q280" s="25">
        <v>0</v>
      </c>
      <c r="R280" s="26">
        <f t="shared" si="157"/>
        <v>0</v>
      </c>
      <c r="S280" s="25">
        <v>0</v>
      </c>
      <c r="T280" s="26">
        <f t="shared" si="158"/>
        <v>0</v>
      </c>
      <c r="U280" s="25"/>
      <c r="V280" s="26">
        <f t="shared" si="159"/>
        <v>0</v>
      </c>
      <c r="W280" s="25"/>
      <c r="X280" s="26">
        <f t="shared" si="160"/>
        <v>0</v>
      </c>
      <c r="Y280" s="25">
        <f>K280</f>
        <v>81</v>
      </c>
      <c r="Z280" s="25">
        <f>Y280</f>
        <v>81</v>
      </c>
    </row>
    <row r="281" spans="1:26" ht="13.9" hidden="1" customHeight="1" x14ac:dyDescent="0.25">
      <c r="A281" s="15">
        <v>5</v>
      </c>
      <c r="B281" s="15">
        <v>1</v>
      </c>
      <c r="C281" s="15">
        <v>2</v>
      </c>
      <c r="D281" s="11" t="s">
        <v>205</v>
      </c>
      <c r="E281" s="24">
        <v>630</v>
      </c>
      <c r="F281" s="24" t="s">
        <v>133</v>
      </c>
      <c r="G281" s="25">
        <v>0</v>
      </c>
      <c r="H281" s="25">
        <v>965.89</v>
      </c>
      <c r="I281" s="25">
        <v>0</v>
      </c>
      <c r="J281" s="25">
        <v>0</v>
      </c>
      <c r="K281" s="25">
        <v>0</v>
      </c>
      <c r="L281" s="25"/>
      <c r="M281" s="25"/>
      <c r="N281" s="25"/>
      <c r="O281" s="25"/>
      <c r="P281" s="25">
        <f>K281+SUM(L281:O281)</f>
        <v>0</v>
      </c>
      <c r="Q281" s="25"/>
      <c r="R281" s="26">
        <f t="shared" si="157"/>
        <v>0</v>
      </c>
      <c r="S281" s="25"/>
      <c r="T281" s="26">
        <f t="shared" si="158"/>
        <v>0</v>
      </c>
      <c r="U281" s="25"/>
      <c r="V281" s="26">
        <f t="shared" si="159"/>
        <v>0</v>
      </c>
      <c r="W281" s="25"/>
      <c r="X281" s="26">
        <f t="shared" si="160"/>
        <v>0</v>
      </c>
      <c r="Y281" s="25">
        <f>K281</f>
        <v>0</v>
      </c>
      <c r="Z281" s="25">
        <f>Y281</f>
        <v>0</v>
      </c>
    </row>
    <row r="282" spans="1:26" ht="13.9" customHeight="1" x14ac:dyDescent="0.25">
      <c r="A282" s="15">
        <v>5</v>
      </c>
      <c r="B282" s="15">
        <v>1</v>
      </c>
      <c r="C282" s="15">
        <v>2</v>
      </c>
      <c r="D282" s="79" t="s">
        <v>21</v>
      </c>
      <c r="E282" s="48">
        <v>111</v>
      </c>
      <c r="F282" s="48" t="s">
        <v>136</v>
      </c>
      <c r="G282" s="49">
        <f t="shared" ref="G282:Q282" si="161">SUM(G279:G281)</f>
        <v>311.89</v>
      </c>
      <c r="H282" s="49">
        <f t="shared" si="161"/>
        <v>1303.82</v>
      </c>
      <c r="I282" s="49">
        <f t="shared" si="161"/>
        <v>312</v>
      </c>
      <c r="J282" s="49">
        <f t="shared" si="161"/>
        <v>312</v>
      </c>
      <c r="K282" s="49">
        <f t="shared" si="161"/>
        <v>312</v>
      </c>
      <c r="L282" s="49">
        <f t="shared" si="161"/>
        <v>0</v>
      </c>
      <c r="M282" s="49">
        <f t="shared" si="161"/>
        <v>0</v>
      </c>
      <c r="N282" s="49">
        <f t="shared" si="161"/>
        <v>0</v>
      </c>
      <c r="O282" s="49">
        <f t="shared" si="161"/>
        <v>0</v>
      </c>
      <c r="P282" s="49">
        <f t="shared" si="161"/>
        <v>312</v>
      </c>
      <c r="Q282" s="49">
        <f t="shared" si="161"/>
        <v>0</v>
      </c>
      <c r="R282" s="50">
        <f t="shared" si="157"/>
        <v>0</v>
      </c>
      <c r="S282" s="49">
        <f>SUM(S279:S281)</f>
        <v>0</v>
      </c>
      <c r="T282" s="50">
        <f t="shared" si="158"/>
        <v>0</v>
      </c>
      <c r="U282" s="49">
        <f>SUM(U279:U281)</f>
        <v>0</v>
      </c>
      <c r="V282" s="50">
        <f t="shared" si="159"/>
        <v>0</v>
      </c>
      <c r="W282" s="49">
        <f>SUM(W279:W281)</f>
        <v>0</v>
      </c>
      <c r="X282" s="50">
        <f t="shared" si="160"/>
        <v>0</v>
      </c>
      <c r="Y282" s="49">
        <f>SUM(Y279:Y281)</f>
        <v>312</v>
      </c>
      <c r="Z282" s="49">
        <f>SUM(Z279:Z281)</f>
        <v>312</v>
      </c>
    </row>
    <row r="283" spans="1:26" ht="13.9" hidden="1" customHeight="1" x14ac:dyDescent="0.25">
      <c r="A283" s="15">
        <v>5</v>
      </c>
      <c r="B283" s="15">
        <v>1</v>
      </c>
      <c r="C283" s="15">
        <v>2</v>
      </c>
      <c r="D283" s="84" t="s">
        <v>205</v>
      </c>
      <c r="E283" s="24">
        <v>630</v>
      </c>
      <c r="F283" s="24" t="s">
        <v>133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/>
      <c r="M283" s="25"/>
      <c r="N283" s="25"/>
      <c r="O283" s="25"/>
      <c r="P283" s="25">
        <f>K283+SUM(L283:O283)</f>
        <v>0</v>
      </c>
      <c r="Q283" s="25"/>
      <c r="R283" s="26">
        <f t="shared" si="157"/>
        <v>0</v>
      </c>
      <c r="S283" s="25"/>
      <c r="T283" s="26">
        <f t="shared" si="158"/>
        <v>0</v>
      </c>
      <c r="U283" s="25"/>
      <c r="V283" s="26">
        <f t="shared" si="159"/>
        <v>0</v>
      </c>
      <c r="W283" s="25"/>
      <c r="X283" s="26">
        <f t="shared" si="160"/>
        <v>0</v>
      </c>
      <c r="Y283" s="25">
        <v>0</v>
      </c>
      <c r="Z283" s="25">
        <f>Y283</f>
        <v>0</v>
      </c>
    </row>
    <row r="284" spans="1:26" ht="13.9" hidden="1" customHeight="1" x14ac:dyDescent="0.25">
      <c r="A284" s="15">
        <v>5</v>
      </c>
      <c r="B284" s="15">
        <v>1</v>
      </c>
      <c r="C284" s="15">
        <v>2</v>
      </c>
      <c r="D284" s="79" t="s">
        <v>21</v>
      </c>
      <c r="E284" s="48">
        <v>41</v>
      </c>
      <c r="F284" s="48" t="s">
        <v>23</v>
      </c>
      <c r="G284" s="49">
        <f t="shared" ref="G284:Q284" si="162">SUM(G283)</f>
        <v>0</v>
      </c>
      <c r="H284" s="49">
        <f t="shared" si="162"/>
        <v>0</v>
      </c>
      <c r="I284" s="49">
        <f t="shared" si="162"/>
        <v>0</v>
      </c>
      <c r="J284" s="49">
        <f t="shared" si="162"/>
        <v>0</v>
      </c>
      <c r="K284" s="49">
        <f t="shared" si="162"/>
        <v>0</v>
      </c>
      <c r="L284" s="49">
        <f t="shared" si="162"/>
        <v>0</v>
      </c>
      <c r="M284" s="49">
        <f t="shared" si="162"/>
        <v>0</v>
      </c>
      <c r="N284" s="49">
        <f t="shared" si="162"/>
        <v>0</v>
      </c>
      <c r="O284" s="49">
        <f t="shared" si="162"/>
        <v>0</v>
      </c>
      <c r="P284" s="49">
        <f t="shared" si="162"/>
        <v>0</v>
      </c>
      <c r="Q284" s="49">
        <f t="shared" si="162"/>
        <v>0</v>
      </c>
      <c r="R284" s="50">
        <f t="shared" si="157"/>
        <v>0</v>
      </c>
      <c r="S284" s="49">
        <f>SUM(S283)</f>
        <v>0</v>
      </c>
      <c r="T284" s="50">
        <f t="shared" si="158"/>
        <v>0</v>
      </c>
      <c r="U284" s="49">
        <f>SUM(U283)</f>
        <v>0</v>
      </c>
      <c r="V284" s="50">
        <f t="shared" si="159"/>
        <v>0</v>
      </c>
      <c r="W284" s="49">
        <f>SUM(W283)</f>
        <v>0</v>
      </c>
      <c r="X284" s="50">
        <f t="shared" si="160"/>
        <v>0</v>
      </c>
      <c r="Y284" s="49">
        <f>SUM(Y283)</f>
        <v>0</v>
      </c>
      <c r="Z284" s="49">
        <f>SUM(Z283)</f>
        <v>0</v>
      </c>
    </row>
    <row r="285" spans="1:26" ht="13.9" customHeight="1" x14ac:dyDescent="0.25">
      <c r="A285" s="15">
        <v>5</v>
      </c>
      <c r="B285" s="15">
        <v>1</v>
      </c>
      <c r="C285" s="15">
        <v>2</v>
      </c>
      <c r="D285" s="30"/>
      <c r="E285" s="31"/>
      <c r="F285" s="27" t="s">
        <v>126</v>
      </c>
      <c r="G285" s="28">
        <f t="shared" ref="G285:Q285" si="163">G282+G284</f>
        <v>311.89</v>
      </c>
      <c r="H285" s="28">
        <f t="shared" si="163"/>
        <v>1303.82</v>
      </c>
      <c r="I285" s="28">
        <f t="shared" si="163"/>
        <v>312</v>
      </c>
      <c r="J285" s="28">
        <f t="shared" si="163"/>
        <v>312</v>
      </c>
      <c r="K285" s="28">
        <f t="shared" si="163"/>
        <v>312</v>
      </c>
      <c r="L285" s="28">
        <f t="shared" si="163"/>
        <v>0</v>
      </c>
      <c r="M285" s="28">
        <f t="shared" si="163"/>
        <v>0</v>
      </c>
      <c r="N285" s="28">
        <f t="shared" si="163"/>
        <v>0</v>
      </c>
      <c r="O285" s="28">
        <f t="shared" si="163"/>
        <v>0</v>
      </c>
      <c r="P285" s="28">
        <f t="shared" si="163"/>
        <v>312</v>
      </c>
      <c r="Q285" s="28">
        <f t="shared" si="163"/>
        <v>0</v>
      </c>
      <c r="R285" s="29">
        <f t="shared" si="157"/>
        <v>0</v>
      </c>
      <c r="S285" s="28">
        <f>S282+S284</f>
        <v>0</v>
      </c>
      <c r="T285" s="29">
        <f t="shared" si="158"/>
        <v>0</v>
      </c>
      <c r="U285" s="28">
        <f>U282+U284</f>
        <v>0</v>
      </c>
      <c r="V285" s="29">
        <f t="shared" si="159"/>
        <v>0</v>
      </c>
      <c r="W285" s="28">
        <f>W282+W284</f>
        <v>0</v>
      </c>
      <c r="X285" s="29">
        <f t="shared" si="160"/>
        <v>0</v>
      </c>
      <c r="Y285" s="28">
        <f>Y282+Y284</f>
        <v>312</v>
      </c>
      <c r="Z285" s="28">
        <f>Z282+Z284</f>
        <v>312</v>
      </c>
    </row>
    <row r="287" spans="1:26" ht="13.9" customHeight="1" x14ac:dyDescent="0.25">
      <c r="D287" s="73" t="s">
        <v>206</v>
      </c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4"/>
      <c r="S287" s="73"/>
      <c r="T287" s="74"/>
      <c r="U287" s="73"/>
      <c r="V287" s="74"/>
      <c r="W287" s="73"/>
      <c r="X287" s="74"/>
      <c r="Y287" s="73"/>
      <c r="Z287" s="73"/>
    </row>
    <row r="288" spans="1:26" ht="13.9" customHeight="1" x14ac:dyDescent="0.25">
      <c r="D288" s="21" t="s">
        <v>32</v>
      </c>
      <c r="E288" s="21" t="s">
        <v>33</v>
      </c>
      <c r="F288" s="21" t="s">
        <v>34</v>
      </c>
      <c r="G288" s="21" t="s">
        <v>1</v>
      </c>
      <c r="H288" s="21" t="s">
        <v>2</v>
      </c>
      <c r="I288" s="21" t="s">
        <v>3</v>
      </c>
      <c r="J288" s="21" t="s">
        <v>4</v>
      </c>
      <c r="K288" s="21" t="s">
        <v>5</v>
      </c>
      <c r="L288" s="21" t="s">
        <v>6</v>
      </c>
      <c r="M288" s="21" t="s">
        <v>7</v>
      </c>
      <c r="N288" s="21" t="s">
        <v>8</v>
      </c>
      <c r="O288" s="21" t="s">
        <v>9</v>
      </c>
      <c r="P288" s="21" t="s">
        <v>123</v>
      </c>
      <c r="Q288" s="21" t="s">
        <v>11</v>
      </c>
      <c r="R288" s="22" t="s">
        <v>12</v>
      </c>
      <c r="S288" s="21" t="s">
        <v>13</v>
      </c>
      <c r="T288" s="22" t="s">
        <v>14</v>
      </c>
      <c r="U288" s="21" t="s">
        <v>15</v>
      </c>
      <c r="V288" s="22" t="s">
        <v>16</v>
      </c>
      <c r="W288" s="21" t="s">
        <v>17</v>
      </c>
      <c r="X288" s="22" t="s">
        <v>18</v>
      </c>
      <c r="Y288" s="21" t="s">
        <v>19</v>
      </c>
      <c r="Z288" s="21" t="s">
        <v>20</v>
      </c>
    </row>
    <row r="289" spans="1:26" ht="13.9" hidden="1" customHeight="1" x14ac:dyDescent="0.25">
      <c r="A289" s="15">
        <v>5</v>
      </c>
      <c r="B289" s="15">
        <v>1</v>
      </c>
      <c r="C289" s="15">
        <v>3</v>
      </c>
      <c r="D289" s="51" t="s">
        <v>207</v>
      </c>
      <c r="E289" s="24">
        <v>630</v>
      </c>
      <c r="F289" s="24" t="s">
        <v>133</v>
      </c>
      <c r="G289" s="46">
        <v>0</v>
      </c>
      <c r="H289" s="46">
        <v>20625.84</v>
      </c>
      <c r="I289" s="25">
        <v>0</v>
      </c>
      <c r="J289" s="25">
        <v>0</v>
      </c>
      <c r="K289" s="25">
        <v>0</v>
      </c>
      <c r="L289" s="25"/>
      <c r="M289" s="25"/>
      <c r="N289" s="25"/>
      <c r="O289" s="25"/>
      <c r="P289" s="46">
        <f>K289+SUM(L289:O289)</f>
        <v>0</v>
      </c>
      <c r="Q289" s="46"/>
      <c r="R289" s="47">
        <f t="shared" ref="R289:R294" si="164">IFERROR(Q289/$P289,0)</f>
        <v>0</v>
      </c>
      <c r="S289" s="46"/>
      <c r="T289" s="47">
        <f t="shared" ref="T289:T294" si="165">IFERROR(S289/$P289,0)</f>
        <v>0</v>
      </c>
      <c r="U289" s="46"/>
      <c r="V289" s="47">
        <f t="shared" ref="V289:V294" si="166">IFERROR(U289/$P289,0)</f>
        <v>0</v>
      </c>
      <c r="W289" s="46"/>
      <c r="X289" s="47">
        <f t="shared" ref="X289:X294" si="167">IFERROR(W289/$P289,0)</f>
        <v>0</v>
      </c>
      <c r="Y289" s="25">
        <v>0</v>
      </c>
      <c r="Z289" s="25">
        <v>0</v>
      </c>
    </row>
    <row r="290" spans="1:26" ht="13.9" hidden="1" customHeight="1" x14ac:dyDescent="0.25">
      <c r="A290" s="15">
        <v>5</v>
      </c>
      <c r="B290" s="15">
        <v>1</v>
      </c>
      <c r="C290" s="15">
        <v>3</v>
      </c>
      <c r="D290" s="79" t="s">
        <v>21</v>
      </c>
      <c r="E290" s="48">
        <v>111</v>
      </c>
      <c r="F290" s="48" t="s">
        <v>45</v>
      </c>
      <c r="G290" s="49">
        <f t="shared" ref="G290:Q290" si="168">SUM(G289)</f>
        <v>0</v>
      </c>
      <c r="H290" s="49">
        <f t="shared" si="168"/>
        <v>20625.84</v>
      </c>
      <c r="I290" s="49">
        <f t="shared" si="168"/>
        <v>0</v>
      </c>
      <c r="J290" s="49">
        <f t="shared" si="168"/>
        <v>0</v>
      </c>
      <c r="K290" s="49">
        <f t="shared" si="168"/>
        <v>0</v>
      </c>
      <c r="L290" s="49">
        <f t="shared" si="168"/>
        <v>0</v>
      </c>
      <c r="M290" s="49">
        <f t="shared" si="168"/>
        <v>0</v>
      </c>
      <c r="N290" s="49">
        <f t="shared" si="168"/>
        <v>0</v>
      </c>
      <c r="O290" s="49">
        <f t="shared" si="168"/>
        <v>0</v>
      </c>
      <c r="P290" s="49">
        <f t="shared" si="168"/>
        <v>0</v>
      </c>
      <c r="Q290" s="49">
        <f t="shared" si="168"/>
        <v>0</v>
      </c>
      <c r="R290" s="50">
        <f t="shared" si="164"/>
        <v>0</v>
      </c>
      <c r="S290" s="49">
        <f>SUM(S289)</f>
        <v>0</v>
      </c>
      <c r="T290" s="50">
        <f t="shared" si="165"/>
        <v>0</v>
      </c>
      <c r="U290" s="49">
        <f>SUM(U289)</f>
        <v>0</v>
      </c>
      <c r="V290" s="50">
        <f t="shared" si="166"/>
        <v>0</v>
      </c>
      <c r="W290" s="49">
        <f>SUM(W289)</f>
        <v>0</v>
      </c>
      <c r="X290" s="50">
        <f t="shared" si="167"/>
        <v>0</v>
      </c>
      <c r="Y290" s="49">
        <f>SUM(Y289)</f>
        <v>0</v>
      </c>
      <c r="Z290" s="49">
        <f>SUM(Z289)</f>
        <v>0</v>
      </c>
    </row>
    <row r="291" spans="1:26" ht="13.9" customHeight="1" x14ac:dyDescent="0.25">
      <c r="A291" s="15">
        <v>5</v>
      </c>
      <c r="B291" s="15">
        <v>1</v>
      </c>
      <c r="C291" s="15">
        <v>3</v>
      </c>
      <c r="D291" s="5" t="s">
        <v>207</v>
      </c>
      <c r="E291" s="24">
        <v>620</v>
      </c>
      <c r="F291" s="24" t="s">
        <v>132</v>
      </c>
      <c r="G291" s="25">
        <v>284.52</v>
      </c>
      <c r="H291" s="25">
        <v>284.52</v>
      </c>
      <c r="I291" s="25">
        <v>285</v>
      </c>
      <c r="J291" s="25">
        <v>285</v>
      </c>
      <c r="K291" s="25">
        <v>285</v>
      </c>
      <c r="L291" s="25"/>
      <c r="M291" s="25"/>
      <c r="N291" s="25"/>
      <c r="O291" s="25"/>
      <c r="P291" s="25">
        <f>K291+SUM(L291:O291)</f>
        <v>285</v>
      </c>
      <c r="Q291" s="25">
        <v>71.13</v>
      </c>
      <c r="R291" s="26">
        <f t="shared" si="164"/>
        <v>0.24957894736842104</v>
      </c>
      <c r="S291" s="25"/>
      <c r="T291" s="26">
        <f t="shared" si="165"/>
        <v>0</v>
      </c>
      <c r="U291" s="25"/>
      <c r="V291" s="26">
        <f t="shared" si="166"/>
        <v>0</v>
      </c>
      <c r="W291" s="25"/>
      <c r="X291" s="26">
        <f t="shared" si="167"/>
        <v>0</v>
      </c>
      <c r="Y291" s="25">
        <f>K291</f>
        <v>285</v>
      </c>
      <c r="Z291" s="25">
        <f>Y291</f>
        <v>285</v>
      </c>
    </row>
    <row r="292" spans="1:26" ht="13.9" customHeight="1" x14ac:dyDescent="0.25">
      <c r="A292" s="15">
        <v>5</v>
      </c>
      <c r="B292" s="15">
        <v>1</v>
      </c>
      <c r="C292" s="15">
        <v>3</v>
      </c>
      <c r="D292" s="5"/>
      <c r="E292" s="24">
        <v>630</v>
      </c>
      <c r="F292" s="24" t="s">
        <v>133</v>
      </c>
      <c r="G292" s="25">
        <v>18451.14</v>
      </c>
      <c r="H292" s="25">
        <v>8345.14</v>
      </c>
      <c r="I292" s="25">
        <v>28918</v>
      </c>
      <c r="J292" s="25">
        <v>14911</v>
      </c>
      <c r="K292" s="25">
        <v>14916</v>
      </c>
      <c r="L292" s="25"/>
      <c r="M292" s="25"/>
      <c r="N292" s="25"/>
      <c r="O292" s="25"/>
      <c r="P292" s="25">
        <f>K292+SUM(L292:O292)</f>
        <v>14916</v>
      </c>
      <c r="Q292" s="25">
        <v>4845.55</v>
      </c>
      <c r="R292" s="26">
        <f t="shared" si="164"/>
        <v>0.32485585947975332</v>
      </c>
      <c r="S292" s="25"/>
      <c r="T292" s="26">
        <f t="shared" si="165"/>
        <v>0</v>
      </c>
      <c r="U292" s="25"/>
      <c r="V292" s="26">
        <f t="shared" si="166"/>
        <v>0</v>
      </c>
      <c r="W292" s="25"/>
      <c r="X292" s="26">
        <f t="shared" si="167"/>
        <v>0</v>
      </c>
      <c r="Y292" s="25">
        <f>K292</f>
        <v>14916</v>
      </c>
      <c r="Z292" s="25">
        <f>Y292</f>
        <v>14916</v>
      </c>
    </row>
    <row r="293" spans="1:26" ht="13.9" customHeight="1" x14ac:dyDescent="0.25">
      <c r="A293" s="15">
        <v>5</v>
      </c>
      <c r="B293" s="15">
        <v>1</v>
      </c>
      <c r="C293" s="15">
        <v>3</v>
      </c>
      <c r="D293" s="79" t="s">
        <v>21</v>
      </c>
      <c r="E293" s="48">
        <v>41</v>
      </c>
      <c r="F293" s="48" t="s">
        <v>23</v>
      </c>
      <c r="G293" s="49">
        <f t="shared" ref="G293:Q293" si="169">SUM(G291:G292)</f>
        <v>18735.66</v>
      </c>
      <c r="H293" s="49">
        <f t="shared" si="169"/>
        <v>8629.66</v>
      </c>
      <c r="I293" s="49">
        <f t="shared" si="169"/>
        <v>29203</v>
      </c>
      <c r="J293" s="49">
        <f t="shared" si="169"/>
        <v>15196</v>
      </c>
      <c r="K293" s="49">
        <f t="shared" si="169"/>
        <v>15201</v>
      </c>
      <c r="L293" s="49">
        <f t="shared" si="169"/>
        <v>0</v>
      </c>
      <c r="M293" s="49">
        <f t="shared" si="169"/>
        <v>0</v>
      </c>
      <c r="N293" s="49">
        <f t="shared" si="169"/>
        <v>0</v>
      </c>
      <c r="O293" s="49">
        <f t="shared" si="169"/>
        <v>0</v>
      </c>
      <c r="P293" s="49">
        <f t="shared" si="169"/>
        <v>15201</v>
      </c>
      <c r="Q293" s="49">
        <f t="shared" si="169"/>
        <v>4916.68</v>
      </c>
      <c r="R293" s="50">
        <f t="shared" si="164"/>
        <v>0.3234445102295902</v>
      </c>
      <c r="S293" s="49">
        <f>SUM(S291:S292)</f>
        <v>0</v>
      </c>
      <c r="T293" s="50">
        <f t="shared" si="165"/>
        <v>0</v>
      </c>
      <c r="U293" s="49">
        <f>SUM(U291:U292)</f>
        <v>0</v>
      </c>
      <c r="V293" s="50">
        <f t="shared" si="166"/>
        <v>0</v>
      </c>
      <c r="W293" s="49">
        <f>SUM(W291:W292)</f>
        <v>0</v>
      </c>
      <c r="X293" s="50">
        <f t="shared" si="167"/>
        <v>0</v>
      </c>
      <c r="Y293" s="49">
        <f>SUM(Y291:Y292)</f>
        <v>15201</v>
      </c>
      <c r="Z293" s="49">
        <f>SUM(Z291:Z292)</f>
        <v>15201</v>
      </c>
    </row>
    <row r="294" spans="1:26" ht="13.9" customHeight="1" x14ac:dyDescent="0.25">
      <c r="A294" s="15">
        <v>5</v>
      </c>
      <c r="B294" s="15">
        <v>1</v>
      </c>
      <c r="C294" s="15">
        <v>3</v>
      </c>
      <c r="D294" s="86"/>
      <c r="E294" s="87"/>
      <c r="F294" s="27" t="s">
        <v>126</v>
      </c>
      <c r="G294" s="28">
        <f t="shared" ref="G294:Q294" si="170">G290+G293</f>
        <v>18735.66</v>
      </c>
      <c r="H294" s="28">
        <f t="shared" si="170"/>
        <v>29255.5</v>
      </c>
      <c r="I294" s="28">
        <f t="shared" si="170"/>
        <v>29203</v>
      </c>
      <c r="J294" s="28">
        <f t="shared" si="170"/>
        <v>15196</v>
      </c>
      <c r="K294" s="28">
        <f t="shared" si="170"/>
        <v>15201</v>
      </c>
      <c r="L294" s="28">
        <f t="shared" si="170"/>
        <v>0</v>
      </c>
      <c r="M294" s="28">
        <f t="shared" si="170"/>
        <v>0</v>
      </c>
      <c r="N294" s="28">
        <f t="shared" si="170"/>
        <v>0</v>
      </c>
      <c r="O294" s="28">
        <f t="shared" si="170"/>
        <v>0</v>
      </c>
      <c r="P294" s="28">
        <f t="shared" si="170"/>
        <v>15201</v>
      </c>
      <c r="Q294" s="28">
        <f t="shared" si="170"/>
        <v>4916.68</v>
      </c>
      <c r="R294" s="29">
        <f t="shared" si="164"/>
        <v>0.3234445102295902</v>
      </c>
      <c r="S294" s="28">
        <f>S290+S293</f>
        <v>0</v>
      </c>
      <c r="T294" s="29">
        <f t="shared" si="165"/>
        <v>0</v>
      </c>
      <c r="U294" s="28">
        <f>U290+U293</f>
        <v>0</v>
      </c>
      <c r="V294" s="29">
        <f t="shared" si="166"/>
        <v>0</v>
      </c>
      <c r="W294" s="28">
        <f>W290+W293</f>
        <v>0</v>
      </c>
      <c r="X294" s="29">
        <f t="shared" si="167"/>
        <v>0</v>
      </c>
      <c r="Y294" s="28">
        <f>Y290+Y293</f>
        <v>15201</v>
      </c>
      <c r="Z294" s="28">
        <f>Z290+Z293</f>
        <v>15201</v>
      </c>
    </row>
    <row r="296" spans="1:26" ht="13.9" customHeight="1" x14ac:dyDescent="0.25">
      <c r="E296" s="52" t="s">
        <v>55</v>
      </c>
      <c r="F296" s="30" t="s">
        <v>149</v>
      </c>
      <c r="G296" s="53">
        <v>13134</v>
      </c>
      <c r="H296" s="53">
        <v>24806.18</v>
      </c>
      <c r="I296" s="53">
        <v>24807</v>
      </c>
      <c r="J296" s="53">
        <v>10572</v>
      </c>
      <c r="K296" s="53">
        <v>10570</v>
      </c>
      <c r="L296" s="53"/>
      <c r="M296" s="53"/>
      <c r="N296" s="53"/>
      <c r="O296" s="53"/>
      <c r="P296" s="53">
        <f>K296+SUM(L296:O296)</f>
        <v>10570</v>
      </c>
      <c r="Q296" s="53">
        <v>3906.07</v>
      </c>
      <c r="R296" s="54">
        <f>IFERROR(Q296/$P296,0)</f>
        <v>0.36954304635761592</v>
      </c>
      <c r="S296" s="53"/>
      <c r="T296" s="54">
        <f>IFERROR(S296/$P296,0)</f>
        <v>0</v>
      </c>
      <c r="U296" s="53"/>
      <c r="V296" s="54">
        <f>IFERROR(U296/$P296,0)</f>
        <v>0</v>
      </c>
      <c r="W296" s="53"/>
      <c r="X296" s="55">
        <f>IFERROR(W296/$P296,0)</f>
        <v>0</v>
      </c>
      <c r="Y296" s="53">
        <f>K296</f>
        <v>10570</v>
      </c>
      <c r="Z296" s="56">
        <f>Y296</f>
        <v>10570</v>
      </c>
    </row>
    <row r="297" spans="1:26" ht="13.9" customHeight="1" x14ac:dyDescent="0.25">
      <c r="E297" s="65"/>
      <c r="F297" s="97" t="s">
        <v>208</v>
      </c>
      <c r="G297" s="67">
        <v>4042.44</v>
      </c>
      <c r="H297" s="67">
        <v>4042.44</v>
      </c>
      <c r="I297" s="67">
        <v>4043</v>
      </c>
      <c r="J297" s="67">
        <v>4043</v>
      </c>
      <c r="K297" s="67">
        <v>4043</v>
      </c>
      <c r="L297" s="67"/>
      <c r="M297" s="67"/>
      <c r="N297" s="67"/>
      <c r="O297" s="67"/>
      <c r="P297" s="67">
        <f>K297+SUM(L297:O297)</f>
        <v>4043</v>
      </c>
      <c r="Q297" s="67">
        <v>1010.61</v>
      </c>
      <c r="R297" s="68">
        <f>IFERROR(Q297/$P297,0)</f>
        <v>0.24996537224833046</v>
      </c>
      <c r="S297" s="67"/>
      <c r="T297" s="68">
        <f>IFERROR(S297/$P297,0)</f>
        <v>0</v>
      </c>
      <c r="U297" s="67"/>
      <c r="V297" s="68">
        <f>IFERROR(U297/$P297,0)</f>
        <v>0</v>
      </c>
      <c r="W297" s="67"/>
      <c r="X297" s="69">
        <f>IFERROR(W297/$P297,0)</f>
        <v>0</v>
      </c>
      <c r="Y297" s="67">
        <f>K297</f>
        <v>4043</v>
      </c>
      <c r="Z297" s="70">
        <f>Y297</f>
        <v>4043</v>
      </c>
    </row>
    <row r="299" spans="1:26" ht="13.9" customHeight="1" x14ac:dyDescent="0.25">
      <c r="D299" s="73" t="s">
        <v>209</v>
      </c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4"/>
      <c r="S299" s="73"/>
      <c r="T299" s="74"/>
      <c r="U299" s="73"/>
      <c r="V299" s="74"/>
      <c r="W299" s="73"/>
      <c r="X299" s="74"/>
      <c r="Y299" s="73"/>
      <c r="Z299" s="73"/>
    </row>
    <row r="300" spans="1:26" ht="13.9" customHeight="1" x14ac:dyDescent="0.25">
      <c r="D300" s="21" t="s">
        <v>32</v>
      </c>
      <c r="E300" s="21" t="s">
        <v>33</v>
      </c>
      <c r="F300" s="21" t="s">
        <v>34</v>
      </c>
      <c r="G300" s="21" t="s">
        <v>1</v>
      </c>
      <c r="H300" s="21" t="s">
        <v>2</v>
      </c>
      <c r="I300" s="21" t="s">
        <v>3</v>
      </c>
      <c r="J300" s="21" t="s">
        <v>4</v>
      </c>
      <c r="K300" s="21" t="s">
        <v>5</v>
      </c>
      <c r="L300" s="21" t="s">
        <v>6</v>
      </c>
      <c r="M300" s="21" t="s">
        <v>7</v>
      </c>
      <c r="N300" s="21" t="s">
        <v>8</v>
      </c>
      <c r="O300" s="21" t="s">
        <v>9</v>
      </c>
      <c r="P300" s="21" t="s">
        <v>123</v>
      </c>
      <c r="Q300" s="21" t="s">
        <v>11</v>
      </c>
      <c r="R300" s="22" t="s">
        <v>12</v>
      </c>
      <c r="S300" s="21" t="s">
        <v>13</v>
      </c>
      <c r="T300" s="22" t="s">
        <v>14</v>
      </c>
      <c r="U300" s="21" t="s">
        <v>15</v>
      </c>
      <c r="V300" s="22" t="s">
        <v>16</v>
      </c>
      <c r="W300" s="21" t="s">
        <v>17</v>
      </c>
      <c r="X300" s="22" t="s">
        <v>18</v>
      </c>
      <c r="Y300" s="21" t="s">
        <v>19</v>
      </c>
      <c r="Z300" s="21" t="s">
        <v>20</v>
      </c>
    </row>
    <row r="301" spans="1:26" ht="13.9" customHeight="1" x14ac:dyDescent="0.25">
      <c r="A301" s="15">
        <v>5</v>
      </c>
      <c r="B301" s="15">
        <v>1</v>
      </c>
      <c r="C301" s="15">
        <v>4</v>
      </c>
      <c r="D301" s="84" t="s">
        <v>210</v>
      </c>
      <c r="E301" s="24">
        <v>630</v>
      </c>
      <c r="F301" s="24" t="s">
        <v>133</v>
      </c>
      <c r="G301" s="25">
        <v>26.62</v>
      </c>
      <c r="H301" s="25">
        <v>772.72</v>
      </c>
      <c r="I301" s="25">
        <v>800</v>
      </c>
      <c r="J301" s="25">
        <v>1976</v>
      </c>
      <c r="K301" s="25">
        <v>917</v>
      </c>
      <c r="L301" s="25"/>
      <c r="M301" s="25"/>
      <c r="N301" s="25"/>
      <c r="O301" s="25"/>
      <c r="P301" s="25">
        <f>K301+SUM(L301:O301)</f>
        <v>917</v>
      </c>
      <c r="Q301" s="25">
        <v>360</v>
      </c>
      <c r="R301" s="26">
        <f>IFERROR(Q301/$P301,0)</f>
        <v>0.3925845147219193</v>
      </c>
      <c r="S301" s="25"/>
      <c r="T301" s="26">
        <f>IFERROR(S301/$P301,0)</f>
        <v>0</v>
      </c>
      <c r="U301" s="25"/>
      <c r="V301" s="26">
        <f>IFERROR(U301/$P301,0)</f>
        <v>0</v>
      </c>
      <c r="W301" s="25"/>
      <c r="X301" s="26">
        <f>IFERROR(W301/$P301,0)</f>
        <v>0</v>
      </c>
      <c r="Y301" s="25">
        <f>K301</f>
        <v>917</v>
      </c>
      <c r="Z301" s="25">
        <f>Y301</f>
        <v>917</v>
      </c>
    </row>
    <row r="302" spans="1:26" ht="13.9" customHeight="1" x14ac:dyDescent="0.25">
      <c r="A302" s="15">
        <v>5</v>
      </c>
      <c r="B302" s="15">
        <v>1</v>
      </c>
      <c r="C302" s="15">
        <v>4</v>
      </c>
      <c r="D302" s="79" t="s">
        <v>21</v>
      </c>
      <c r="E302" s="48">
        <v>41</v>
      </c>
      <c r="F302" s="48" t="s">
        <v>23</v>
      </c>
      <c r="G302" s="49">
        <f t="shared" ref="G302:Q302" si="171">SUM(G301)</f>
        <v>26.62</v>
      </c>
      <c r="H302" s="49">
        <f t="shared" si="171"/>
        <v>772.72</v>
      </c>
      <c r="I302" s="49">
        <f t="shared" si="171"/>
        <v>800</v>
      </c>
      <c r="J302" s="49">
        <f t="shared" si="171"/>
        <v>1976</v>
      </c>
      <c r="K302" s="49">
        <f t="shared" si="171"/>
        <v>917</v>
      </c>
      <c r="L302" s="49">
        <f t="shared" si="171"/>
        <v>0</v>
      </c>
      <c r="M302" s="49">
        <f t="shared" si="171"/>
        <v>0</v>
      </c>
      <c r="N302" s="49">
        <f t="shared" si="171"/>
        <v>0</v>
      </c>
      <c r="O302" s="49">
        <f t="shared" si="171"/>
        <v>0</v>
      </c>
      <c r="P302" s="49">
        <f t="shared" si="171"/>
        <v>917</v>
      </c>
      <c r="Q302" s="49">
        <f t="shared" si="171"/>
        <v>360</v>
      </c>
      <c r="R302" s="50">
        <f>IFERROR(Q302/$P302,0)</f>
        <v>0.3925845147219193</v>
      </c>
      <c r="S302" s="49">
        <f>SUM(S301)</f>
        <v>0</v>
      </c>
      <c r="T302" s="50">
        <f>IFERROR(S302/$P302,0)</f>
        <v>0</v>
      </c>
      <c r="U302" s="49">
        <f>SUM(U301)</f>
        <v>0</v>
      </c>
      <c r="V302" s="50">
        <f>IFERROR(U302/$P302,0)</f>
        <v>0</v>
      </c>
      <c r="W302" s="49">
        <f>SUM(W301)</f>
        <v>0</v>
      </c>
      <c r="X302" s="50">
        <f>IFERROR(W302/$P302,0)</f>
        <v>0</v>
      </c>
      <c r="Y302" s="49">
        <f>SUM(Y301)</f>
        <v>917</v>
      </c>
      <c r="Z302" s="49">
        <f>SUM(Z301)</f>
        <v>917</v>
      </c>
    </row>
    <row r="303" spans="1:26" ht="13.9" customHeight="1" x14ac:dyDescent="0.25">
      <c r="A303" s="15">
        <v>5</v>
      </c>
      <c r="B303" s="15">
        <v>1</v>
      </c>
      <c r="C303" s="15">
        <v>4</v>
      </c>
      <c r="D303" s="86"/>
      <c r="E303" s="87"/>
      <c r="F303" s="27" t="s">
        <v>126</v>
      </c>
      <c r="G303" s="28">
        <f t="shared" ref="G303:Q303" si="172">G302</f>
        <v>26.62</v>
      </c>
      <c r="H303" s="28">
        <f t="shared" si="172"/>
        <v>772.72</v>
      </c>
      <c r="I303" s="28">
        <f t="shared" si="172"/>
        <v>800</v>
      </c>
      <c r="J303" s="28">
        <f t="shared" si="172"/>
        <v>1976</v>
      </c>
      <c r="K303" s="28">
        <f t="shared" si="172"/>
        <v>917</v>
      </c>
      <c r="L303" s="28">
        <f t="shared" si="172"/>
        <v>0</v>
      </c>
      <c r="M303" s="28">
        <f t="shared" si="172"/>
        <v>0</v>
      </c>
      <c r="N303" s="28">
        <f t="shared" si="172"/>
        <v>0</v>
      </c>
      <c r="O303" s="28">
        <f t="shared" si="172"/>
        <v>0</v>
      </c>
      <c r="P303" s="28">
        <f t="shared" si="172"/>
        <v>917</v>
      </c>
      <c r="Q303" s="28">
        <f t="shared" si="172"/>
        <v>360</v>
      </c>
      <c r="R303" s="29">
        <f>IFERROR(Q303/$P303,0)</f>
        <v>0.3925845147219193</v>
      </c>
      <c r="S303" s="28">
        <f>S302</f>
        <v>0</v>
      </c>
      <c r="T303" s="29">
        <f>IFERROR(S303/$P303,0)</f>
        <v>0</v>
      </c>
      <c r="U303" s="28">
        <f>U302</f>
        <v>0</v>
      </c>
      <c r="V303" s="29">
        <f>IFERROR(U303/$P303,0)</f>
        <v>0</v>
      </c>
      <c r="W303" s="28">
        <f>W302</f>
        <v>0</v>
      </c>
      <c r="X303" s="29">
        <f>IFERROR(W303/$P303,0)</f>
        <v>0</v>
      </c>
      <c r="Y303" s="28">
        <f>Y302</f>
        <v>917</v>
      </c>
      <c r="Z303" s="28">
        <f>Z302</f>
        <v>917</v>
      </c>
    </row>
    <row r="305" spans="1:26" ht="13.9" customHeight="1" x14ac:dyDescent="0.25">
      <c r="D305" s="41" t="s">
        <v>211</v>
      </c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2"/>
      <c r="S305" s="41"/>
      <c r="T305" s="42"/>
      <c r="U305" s="41"/>
      <c r="V305" s="42"/>
      <c r="W305" s="41"/>
      <c r="X305" s="42"/>
      <c r="Y305" s="41"/>
      <c r="Z305" s="41"/>
    </row>
    <row r="306" spans="1:26" ht="13.9" customHeight="1" x14ac:dyDescent="0.25">
      <c r="D306" s="128"/>
      <c r="E306" s="128"/>
      <c r="F306" s="128"/>
      <c r="G306" s="21" t="s">
        <v>1</v>
      </c>
      <c r="H306" s="21" t="s">
        <v>2</v>
      </c>
      <c r="I306" s="21" t="s">
        <v>3</v>
      </c>
      <c r="J306" s="21" t="s">
        <v>4</v>
      </c>
      <c r="K306" s="21" t="s">
        <v>5</v>
      </c>
      <c r="L306" s="21" t="s">
        <v>6</v>
      </c>
      <c r="M306" s="21" t="s">
        <v>7</v>
      </c>
      <c r="N306" s="21" t="s">
        <v>8</v>
      </c>
      <c r="O306" s="21" t="s">
        <v>9</v>
      </c>
      <c r="P306" s="21" t="s">
        <v>123</v>
      </c>
      <c r="Q306" s="21" t="s">
        <v>11</v>
      </c>
      <c r="R306" s="22" t="s">
        <v>12</v>
      </c>
      <c r="S306" s="21" t="s">
        <v>13</v>
      </c>
      <c r="T306" s="22" t="s">
        <v>14</v>
      </c>
      <c r="U306" s="21" t="s">
        <v>15</v>
      </c>
      <c r="V306" s="22" t="s">
        <v>16</v>
      </c>
      <c r="W306" s="21" t="s">
        <v>17</v>
      </c>
      <c r="X306" s="22" t="s">
        <v>18</v>
      </c>
      <c r="Y306" s="21" t="s">
        <v>19</v>
      </c>
      <c r="Z306" s="21" t="s">
        <v>20</v>
      </c>
    </row>
    <row r="307" spans="1:26" ht="13.9" hidden="1" customHeight="1" x14ac:dyDescent="0.25">
      <c r="A307" s="15">
        <v>5</v>
      </c>
      <c r="B307" s="15">
        <v>2</v>
      </c>
      <c r="D307" s="23" t="s">
        <v>21</v>
      </c>
      <c r="E307" s="134" t="s">
        <v>212</v>
      </c>
      <c r="F307" s="24" t="s">
        <v>45</v>
      </c>
      <c r="G307" s="25">
        <f t="shared" ref="G307:Q307" si="173">G327+G341</f>
        <v>8290.2900000000009</v>
      </c>
      <c r="H307" s="25">
        <f t="shared" si="173"/>
        <v>659.61</v>
      </c>
      <c r="I307" s="25">
        <f t="shared" si="173"/>
        <v>0</v>
      </c>
      <c r="J307" s="25">
        <f t="shared" si="173"/>
        <v>4037</v>
      </c>
      <c r="K307" s="25">
        <f t="shared" si="173"/>
        <v>0</v>
      </c>
      <c r="L307" s="25">
        <f t="shared" si="173"/>
        <v>0</v>
      </c>
      <c r="M307" s="25">
        <f t="shared" si="173"/>
        <v>0</v>
      </c>
      <c r="N307" s="25">
        <f t="shared" si="173"/>
        <v>0</v>
      </c>
      <c r="O307" s="25">
        <f t="shared" si="173"/>
        <v>0</v>
      </c>
      <c r="P307" s="25">
        <f t="shared" si="173"/>
        <v>0</v>
      </c>
      <c r="Q307" s="25">
        <f t="shared" si="173"/>
        <v>0</v>
      </c>
      <c r="R307" s="26">
        <f>IFERROR(Q307/$P307,0)</f>
        <v>0</v>
      </c>
      <c r="S307" s="25">
        <f>S327+S341</f>
        <v>0</v>
      </c>
      <c r="T307" s="26">
        <f>IFERROR(S307/$P307,0)</f>
        <v>0</v>
      </c>
      <c r="U307" s="25">
        <f>U327+U341</f>
        <v>0</v>
      </c>
      <c r="V307" s="26">
        <f>IFERROR(U307/$P307,0)</f>
        <v>0</v>
      </c>
      <c r="W307" s="25">
        <f>W327+W341</f>
        <v>0</v>
      </c>
      <c r="X307" s="26">
        <f>IFERROR(W307/$P307,0)</f>
        <v>0</v>
      </c>
      <c r="Y307" s="25">
        <f>Y327+Y341</f>
        <v>0</v>
      </c>
      <c r="Z307" s="25">
        <f>Z327+Z341</f>
        <v>0</v>
      </c>
    </row>
    <row r="308" spans="1:26" ht="13.9" customHeight="1" x14ac:dyDescent="0.25">
      <c r="A308" s="15">
        <v>5</v>
      </c>
      <c r="B308" s="15">
        <v>2</v>
      </c>
      <c r="D308" s="23" t="s">
        <v>21</v>
      </c>
      <c r="E308" s="24">
        <v>41</v>
      </c>
      <c r="F308" s="24" t="s">
        <v>23</v>
      </c>
      <c r="G308" s="25">
        <f t="shared" ref="G308:Q308" si="174">G316+G329+G345</f>
        <v>23233.62</v>
      </c>
      <c r="H308" s="25">
        <f t="shared" si="174"/>
        <v>10301.01</v>
      </c>
      <c r="I308" s="25">
        <f t="shared" si="174"/>
        <v>17525</v>
      </c>
      <c r="J308" s="25">
        <f t="shared" si="174"/>
        <v>16907</v>
      </c>
      <c r="K308" s="25">
        <f t="shared" si="174"/>
        <v>21379</v>
      </c>
      <c r="L308" s="25">
        <f t="shared" si="174"/>
        <v>0</v>
      </c>
      <c r="M308" s="25">
        <f t="shared" si="174"/>
        <v>0</v>
      </c>
      <c r="N308" s="25">
        <f t="shared" si="174"/>
        <v>0</v>
      </c>
      <c r="O308" s="25">
        <f t="shared" si="174"/>
        <v>0</v>
      </c>
      <c r="P308" s="25">
        <f t="shared" si="174"/>
        <v>21379</v>
      </c>
      <c r="Q308" s="25">
        <f t="shared" si="174"/>
        <v>4584.1499999999996</v>
      </c>
      <c r="R308" s="26">
        <f>IFERROR(Q308/$P308,0)</f>
        <v>0.21442303194723791</v>
      </c>
      <c r="S308" s="25">
        <f>S316+S329+S345</f>
        <v>0</v>
      </c>
      <c r="T308" s="26">
        <f>IFERROR(S308/$P308,0)</f>
        <v>0</v>
      </c>
      <c r="U308" s="25">
        <f>U316+U329+U345</f>
        <v>0</v>
      </c>
      <c r="V308" s="26">
        <f>IFERROR(U308/$P308,0)</f>
        <v>0</v>
      </c>
      <c r="W308" s="25">
        <f>W316+W329+W345</f>
        <v>0</v>
      </c>
      <c r="X308" s="26">
        <f>IFERROR(W308/$P308,0)</f>
        <v>0</v>
      </c>
      <c r="Y308" s="25">
        <f>Y316+Y329+Y345</f>
        <v>20947</v>
      </c>
      <c r="Z308" s="25">
        <f>Z316+Z329+Z345</f>
        <v>21648</v>
      </c>
    </row>
    <row r="309" spans="1:26" ht="13.9" hidden="1" customHeight="1" x14ac:dyDescent="0.25">
      <c r="A309" s="15">
        <v>5</v>
      </c>
      <c r="B309" s="15">
        <v>2</v>
      </c>
      <c r="D309" s="23" t="s">
        <v>21</v>
      </c>
      <c r="E309" s="24">
        <v>72</v>
      </c>
      <c r="F309" s="24" t="s">
        <v>25</v>
      </c>
      <c r="G309" s="25">
        <f t="shared" ref="G309:Q309" si="175">G347</f>
        <v>138.36000000000001</v>
      </c>
      <c r="H309" s="25">
        <f t="shared" si="175"/>
        <v>0</v>
      </c>
      <c r="I309" s="25">
        <f t="shared" si="175"/>
        <v>0</v>
      </c>
      <c r="J309" s="25">
        <f t="shared" si="175"/>
        <v>0</v>
      </c>
      <c r="K309" s="25">
        <f t="shared" si="175"/>
        <v>0</v>
      </c>
      <c r="L309" s="25">
        <f t="shared" si="175"/>
        <v>0</v>
      </c>
      <c r="M309" s="25">
        <f t="shared" si="175"/>
        <v>0</v>
      </c>
      <c r="N309" s="25">
        <f t="shared" si="175"/>
        <v>0</v>
      </c>
      <c r="O309" s="25">
        <f t="shared" si="175"/>
        <v>0</v>
      </c>
      <c r="P309" s="25">
        <f t="shared" si="175"/>
        <v>0</v>
      </c>
      <c r="Q309" s="25">
        <f t="shared" si="175"/>
        <v>0</v>
      </c>
      <c r="R309" s="26">
        <f>IFERROR(Q309/$P309,0)</f>
        <v>0</v>
      </c>
      <c r="S309" s="25">
        <f>S347</f>
        <v>0</v>
      </c>
      <c r="T309" s="26">
        <f>IFERROR(S309/$P309,0)</f>
        <v>0</v>
      </c>
      <c r="U309" s="25">
        <f>U347</f>
        <v>0</v>
      </c>
      <c r="V309" s="26">
        <f>IFERROR(U309/$P309,0)</f>
        <v>0</v>
      </c>
      <c r="W309" s="25">
        <f>W347</f>
        <v>0</v>
      </c>
      <c r="X309" s="26">
        <f>IFERROR(W309/$P309,0)</f>
        <v>0</v>
      </c>
      <c r="Y309" s="25">
        <f>Y347</f>
        <v>0</v>
      </c>
      <c r="Z309" s="25">
        <f>Z347</f>
        <v>0</v>
      </c>
    </row>
    <row r="310" spans="1:26" ht="13.9" customHeight="1" x14ac:dyDescent="0.25">
      <c r="A310" s="15">
        <v>5</v>
      </c>
      <c r="B310" s="15">
        <v>2</v>
      </c>
      <c r="D310" s="30"/>
      <c r="E310" s="31"/>
      <c r="F310" s="27" t="s">
        <v>126</v>
      </c>
      <c r="G310" s="28">
        <f t="shared" ref="G310:Q310" si="176">SUM(G307:G309)</f>
        <v>31662.27</v>
      </c>
      <c r="H310" s="28">
        <f t="shared" si="176"/>
        <v>10960.62</v>
      </c>
      <c r="I310" s="28">
        <f t="shared" si="176"/>
        <v>17525</v>
      </c>
      <c r="J310" s="28">
        <f t="shared" si="176"/>
        <v>20944</v>
      </c>
      <c r="K310" s="28">
        <f t="shared" si="176"/>
        <v>21379</v>
      </c>
      <c r="L310" s="28">
        <f t="shared" si="176"/>
        <v>0</v>
      </c>
      <c r="M310" s="28">
        <f t="shared" si="176"/>
        <v>0</v>
      </c>
      <c r="N310" s="28">
        <f t="shared" si="176"/>
        <v>0</v>
      </c>
      <c r="O310" s="28">
        <f t="shared" si="176"/>
        <v>0</v>
      </c>
      <c r="P310" s="28">
        <f t="shared" si="176"/>
        <v>21379</v>
      </c>
      <c r="Q310" s="28">
        <f t="shared" si="176"/>
        <v>4584.1499999999996</v>
      </c>
      <c r="R310" s="29">
        <f>IFERROR(Q310/$P310,0)</f>
        <v>0.21442303194723791</v>
      </c>
      <c r="S310" s="28">
        <f>SUM(S307:S309)</f>
        <v>0</v>
      </c>
      <c r="T310" s="29">
        <f>IFERROR(S310/$P310,0)</f>
        <v>0</v>
      </c>
      <c r="U310" s="28">
        <f>SUM(U307:U309)</f>
        <v>0</v>
      </c>
      <c r="V310" s="29">
        <f>IFERROR(U310/$P310,0)</f>
        <v>0</v>
      </c>
      <c r="W310" s="28">
        <f>SUM(W307:W309)</f>
        <v>0</v>
      </c>
      <c r="X310" s="29">
        <f>IFERROR(W310/$P310,0)</f>
        <v>0</v>
      </c>
      <c r="Y310" s="28">
        <f>SUM(Y307:Y309)</f>
        <v>20947</v>
      </c>
      <c r="Z310" s="28">
        <f>SUM(Z307:Z309)</f>
        <v>21648</v>
      </c>
    </row>
    <row r="312" spans="1:26" ht="13.9" customHeight="1" x14ac:dyDescent="0.25">
      <c r="D312" s="73" t="s">
        <v>213</v>
      </c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4"/>
      <c r="S312" s="73"/>
      <c r="T312" s="74"/>
      <c r="U312" s="73"/>
      <c r="V312" s="74"/>
      <c r="W312" s="73"/>
      <c r="X312" s="74"/>
      <c r="Y312" s="73"/>
      <c r="Z312" s="73"/>
    </row>
    <row r="313" spans="1:26" ht="13.9" customHeight="1" x14ac:dyDescent="0.25">
      <c r="D313" s="21" t="s">
        <v>32</v>
      </c>
      <c r="E313" s="21" t="s">
        <v>33</v>
      </c>
      <c r="F313" s="21" t="s">
        <v>34</v>
      </c>
      <c r="G313" s="21" t="s">
        <v>1</v>
      </c>
      <c r="H313" s="21" t="s">
        <v>2</v>
      </c>
      <c r="I313" s="21" t="s">
        <v>3</v>
      </c>
      <c r="J313" s="21" t="s">
        <v>4</v>
      </c>
      <c r="K313" s="21" t="s">
        <v>5</v>
      </c>
      <c r="L313" s="21" t="s">
        <v>6</v>
      </c>
      <c r="M313" s="21" t="s">
        <v>7</v>
      </c>
      <c r="N313" s="21" t="s">
        <v>8</v>
      </c>
      <c r="O313" s="21" t="s">
        <v>9</v>
      </c>
      <c r="P313" s="21" t="s">
        <v>123</v>
      </c>
      <c r="Q313" s="21" t="s">
        <v>11</v>
      </c>
      <c r="R313" s="22" t="s">
        <v>12</v>
      </c>
      <c r="S313" s="21" t="s">
        <v>13</v>
      </c>
      <c r="T313" s="22" t="s">
        <v>14</v>
      </c>
      <c r="U313" s="21" t="s">
        <v>15</v>
      </c>
      <c r="V313" s="22" t="s">
        <v>16</v>
      </c>
      <c r="W313" s="21" t="s">
        <v>17</v>
      </c>
      <c r="X313" s="22" t="s">
        <v>18</v>
      </c>
      <c r="Y313" s="21" t="s">
        <v>19</v>
      </c>
      <c r="Z313" s="21" t="s">
        <v>20</v>
      </c>
    </row>
    <row r="314" spans="1:26" ht="13.9" customHeight="1" x14ac:dyDescent="0.25">
      <c r="A314" s="15">
        <v>5</v>
      </c>
      <c r="B314" s="15">
        <v>2</v>
      </c>
      <c r="C314" s="15">
        <v>1</v>
      </c>
      <c r="D314" s="11" t="s">
        <v>214</v>
      </c>
      <c r="E314" s="24">
        <v>630</v>
      </c>
      <c r="F314" s="24" t="s">
        <v>133</v>
      </c>
      <c r="G314" s="25">
        <v>6704.29</v>
      </c>
      <c r="H314" s="25">
        <v>3875.78</v>
      </c>
      <c r="I314" s="25">
        <v>6900</v>
      </c>
      <c r="J314" s="25">
        <v>2882</v>
      </c>
      <c r="K314" s="25">
        <v>3200</v>
      </c>
      <c r="L314" s="25"/>
      <c r="M314" s="25"/>
      <c r="N314" s="25"/>
      <c r="O314" s="25"/>
      <c r="P314" s="25">
        <f>K314+SUM(L314:O314)</f>
        <v>3200</v>
      </c>
      <c r="Q314" s="25">
        <v>2281.19</v>
      </c>
      <c r="R314" s="26">
        <f>IFERROR(Q314/$P314,0)</f>
        <v>0.71287187500000004</v>
      </c>
      <c r="S314" s="25"/>
      <c r="T314" s="26">
        <f>IFERROR(S314/$P314,0)</f>
        <v>0</v>
      </c>
      <c r="U314" s="25"/>
      <c r="V314" s="26">
        <f>IFERROR(U314/$P314,0)</f>
        <v>0</v>
      </c>
      <c r="W314" s="25"/>
      <c r="X314" s="26">
        <f>IFERROR(W314/$P314,0)</f>
        <v>0</v>
      </c>
      <c r="Y314" s="25">
        <f>K314</f>
        <v>3200</v>
      </c>
      <c r="Z314" s="25">
        <f>Y314</f>
        <v>3200</v>
      </c>
    </row>
    <row r="315" spans="1:26" ht="13.9" hidden="1" customHeight="1" x14ac:dyDescent="0.25">
      <c r="A315" s="15">
        <v>5</v>
      </c>
      <c r="B315" s="15">
        <v>2</v>
      </c>
      <c r="C315" s="15">
        <v>1</v>
      </c>
      <c r="D315" s="11"/>
      <c r="E315" s="24">
        <v>640</v>
      </c>
      <c r="F315" s="24" t="s">
        <v>134</v>
      </c>
      <c r="G315" s="25">
        <v>0</v>
      </c>
      <c r="H315" s="25">
        <v>0</v>
      </c>
      <c r="I315" s="25">
        <v>0</v>
      </c>
      <c r="J315" s="25">
        <v>100</v>
      </c>
      <c r="K315" s="25">
        <v>0</v>
      </c>
      <c r="L315" s="25"/>
      <c r="M315" s="25"/>
      <c r="N315" s="25"/>
      <c r="O315" s="25"/>
      <c r="P315" s="25">
        <f>K315+SUM(L315:O315)</f>
        <v>0</v>
      </c>
      <c r="Q315" s="25"/>
      <c r="R315" s="26">
        <f>IFERROR(Q315/$P315,0)</f>
        <v>0</v>
      </c>
      <c r="S315" s="25"/>
      <c r="T315" s="26">
        <f>IFERROR(S315/$P315,0)</f>
        <v>0</v>
      </c>
      <c r="U315" s="25"/>
      <c r="V315" s="26">
        <f>IFERROR(U315/$P315,0)</f>
        <v>0</v>
      </c>
      <c r="W315" s="25"/>
      <c r="X315" s="26">
        <f>IFERROR(W315/$P315,0)</f>
        <v>0</v>
      </c>
      <c r="Y315" s="25">
        <f>K315</f>
        <v>0</v>
      </c>
      <c r="Z315" s="25">
        <f>Y315</f>
        <v>0</v>
      </c>
    </row>
    <row r="316" spans="1:26" ht="13.9" customHeight="1" x14ac:dyDescent="0.25">
      <c r="A316" s="15">
        <v>5</v>
      </c>
      <c r="B316" s="15">
        <v>2</v>
      </c>
      <c r="C316" s="15">
        <v>1</v>
      </c>
      <c r="D316" s="79" t="s">
        <v>21</v>
      </c>
      <c r="E316" s="48">
        <v>41</v>
      </c>
      <c r="F316" s="48" t="s">
        <v>23</v>
      </c>
      <c r="G316" s="49">
        <f t="shared" ref="G316:Q316" si="177">SUM(G314:G315)</f>
        <v>6704.29</v>
      </c>
      <c r="H316" s="49">
        <f t="shared" si="177"/>
        <v>3875.78</v>
      </c>
      <c r="I316" s="49">
        <f t="shared" si="177"/>
        <v>6900</v>
      </c>
      <c r="J316" s="49">
        <f t="shared" si="177"/>
        <v>2982</v>
      </c>
      <c r="K316" s="49">
        <f t="shared" si="177"/>
        <v>3200</v>
      </c>
      <c r="L316" s="49">
        <f t="shared" si="177"/>
        <v>0</v>
      </c>
      <c r="M316" s="49">
        <f t="shared" si="177"/>
        <v>0</v>
      </c>
      <c r="N316" s="49">
        <f t="shared" si="177"/>
        <v>0</v>
      </c>
      <c r="O316" s="49">
        <f t="shared" si="177"/>
        <v>0</v>
      </c>
      <c r="P316" s="49">
        <f t="shared" si="177"/>
        <v>3200</v>
      </c>
      <c r="Q316" s="49">
        <f t="shared" si="177"/>
        <v>2281.19</v>
      </c>
      <c r="R316" s="50">
        <f>IFERROR(Q316/$P316,0)</f>
        <v>0.71287187500000004</v>
      </c>
      <c r="S316" s="49">
        <f>SUM(S314:S315)</f>
        <v>0</v>
      </c>
      <c r="T316" s="50">
        <f>IFERROR(S316/$P316,0)</f>
        <v>0</v>
      </c>
      <c r="U316" s="49">
        <f>SUM(U314:U315)</f>
        <v>0</v>
      </c>
      <c r="V316" s="50">
        <f>IFERROR(U316/$P316,0)</f>
        <v>0</v>
      </c>
      <c r="W316" s="49">
        <f>SUM(W314:W315)</f>
        <v>0</v>
      </c>
      <c r="X316" s="50">
        <f>IFERROR(W316/$P316,0)</f>
        <v>0</v>
      </c>
      <c r="Y316" s="49">
        <f>SUM(Y314:Y315)</f>
        <v>3200</v>
      </c>
      <c r="Z316" s="49">
        <f>SUM(Z314:Z315)</f>
        <v>3200</v>
      </c>
    </row>
    <row r="317" spans="1:26" ht="13.9" customHeight="1" x14ac:dyDescent="0.25">
      <c r="A317" s="15">
        <v>5</v>
      </c>
      <c r="B317" s="15">
        <v>2</v>
      </c>
      <c r="C317" s="15">
        <v>1</v>
      </c>
      <c r="D317" s="86"/>
      <c r="E317" s="87"/>
      <c r="F317" s="27" t="s">
        <v>126</v>
      </c>
      <c r="G317" s="28">
        <f t="shared" ref="G317:Q317" si="178">G316</f>
        <v>6704.29</v>
      </c>
      <c r="H317" s="28">
        <f t="shared" si="178"/>
        <v>3875.78</v>
      </c>
      <c r="I317" s="28">
        <f t="shared" si="178"/>
        <v>6900</v>
      </c>
      <c r="J317" s="28">
        <f t="shared" si="178"/>
        <v>2982</v>
      </c>
      <c r="K317" s="28">
        <f t="shared" si="178"/>
        <v>3200</v>
      </c>
      <c r="L317" s="28">
        <f t="shared" si="178"/>
        <v>0</v>
      </c>
      <c r="M317" s="28">
        <f t="shared" si="178"/>
        <v>0</v>
      </c>
      <c r="N317" s="28">
        <f t="shared" si="178"/>
        <v>0</v>
      </c>
      <c r="O317" s="28">
        <f t="shared" si="178"/>
        <v>0</v>
      </c>
      <c r="P317" s="28">
        <f t="shared" si="178"/>
        <v>3200</v>
      </c>
      <c r="Q317" s="28">
        <f t="shared" si="178"/>
        <v>2281.19</v>
      </c>
      <c r="R317" s="29">
        <f>IFERROR(Q317/$P317,0)</f>
        <v>0.71287187500000004</v>
      </c>
      <c r="S317" s="28">
        <f>S316</f>
        <v>0</v>
      </c>
      <c r="T317" s="29">
        <f>IFERROR(S317/$P317,0)</f>
        <v>0</v>
      </c>
      <c r="U317" s="28">
        <f>U316</f>
        <v>0</v>
      </c>
      <c r="V317" s="29">
        <f>IFERROR(U317/$P317,0)</f>
        <v>0</v>
      </c>
      <c r="W317" s="28">
        <f>W316</f>
        <v>0</v>
      </c>
      <c r="X317" s="29">
        <f>IFERROR(W317/$P317,0)</f>
        <v>0</v>
      </c>
      <c r="Y317" s="28">
        <f>Y316</f>
        <v>3200</v>
      </c>
      <c r="Z317" s="28">
        <f>Z316</f>
        <v>3200</v>
      </c>
    </row>
    <row r="319" spans="1:26" ht="13.9" customHeight="1" x14ac:dyDescent="0.25">
      <c r="E319" s="52" t="s">
        <v>55</v>
      </c>
      <c r="F319" s="30" t="s">
        <v>215</v>
      </c>
      <c r="G319" s="53">
        <v>5867.2</v>
      </c>
      <c r="H319" s="53">
        <v>3413.78</v>
      </c>
      <c r="I319" s="53">
        <v>3400</v>
      </c>
      <c r="J319" s="53">
        <v>928</v>
      </c>
      <c r="K319" s="53">
        <v>950</v>
      </c>
      <c r="L319" s="53"/>
      <c r="M319" s="53"/>
      <c r="N319" s="53"/>
      <c r="O319" s="53"/>
      <c r="P319" s="53">
        <f>K319+SUM(L319:O319)</f>
        <v>950</v>
      </c>
      <c r="Q319" s="53">
        <v>707.27</v>
      </c>
      <c r="R319" s="54">
        <f>IFERROR(Q319/$P319,0)</f>
        <v>0.74449473684210521</v>
      </c>
      <c r="S319" s="53"/>
      <c r="T319" s="54">
        <f>IFERROR(S319/$P319,0)</f>
        <v>0</v>
      </c>
      <c r="U319" s="53"/>
      <c r="V319" s="54">
        <f>IFERROR(U319/$P319,0)</f>
        <v>0</v>
      </c>
      <c r="W319" s="53"/>
      <c r="X319" s="55">
        <f>IFERROR(W319/$P319,0)</f>
        <v>0</v>
      </c>
      <c r="Y319" s="53">
        <f>K319</f>
        <v>950</v>
      </c>
      <c r="Z319" s="56">
        <f>Y319</f>
        <v>950</v>
      </c>
    </row>
    <row r="320" spans="1:26" ht="13.9" customHeight="1" x14ac:dyDescent="0.25">
      <c r="E320" s="57"/>
      <c r="F320" s="58" t="s">
        <v>216</v>
      </c>
      <c r="G320" s="59">
        <v>200</v>
      </c>
      <c r="H320" s="59">
        <v>462</v>
      </c>
      <c r="I320" s="59">
        <v>400</v>
      </c>
      <c r="J320" s="59">
        <v>0</v>
      </c>
      <c r="K320" s="59">
        <v>300</v>
      </c>
      <c r="L320" s="59"/>
      <c r="M320" s="59"/>
      <c r="N320" s="59"/>
      <c r="O320" s="59"/>
      <c r="P320" s="59">
        <f>K320+SUM(L320:O320)</f>
        <v>300</v>
      </c>
      <c r="Q320" s="59">
        <v>0</v>
      </c>
      <c r="R320" s="16">
        <f>IFERROR(Q320/$P320,0)</f>
        <v>0</v>
      </c>
      <c r="S320" s="59"/>
      <c r="T320" s="16">
        <f>IFERROR(S320/$P320,0)</f>
        <v>0</v>
      </c>
      <c r="U320" s="59"/>
      <c r="V320" s="16">
        <f>IFERROR(U320/$P320,0)</f>
        <v>0</v>
      </c>
      <c r="W320" s="59"/>
      <c r="X320" s="60">
        <f>IFERROR(W320/$P320,0)</f>
        <v>0</v>
      </c>
      <c r="Y320" s="59">
        <f>K320</f>
        <v>300</v>
      </c>
      <c r="Z320" s="61">
        <f>Y320</f>
        <v>300</v>
      </c>
    </row>
    <row r="321" spans="1:26" ht="13.9" customHeight="1" x14ac:dyDescent="0.25">
      <c r="E321" s="57"/>
      <c r="F321" s="58" t="s">
        <v>217</v>
      </c>
      <c r="G321" s="59">
        <v>288.60000000000002</v>
      </c>
      <c r="H321" s="59">
        <v>0</v>
      </c>
      <c r="I321" s="59">
        <v>1000</v>
      </c>
      <c r="J321" s="59">
        <v>301</v>
      </c>
      <c r="K321" s="59">
        <v>300</v>
      </c>
      <c r="L321" s="59"/>
      <c r="M321" s="59"/>
      <c r="N321" s="59"/>
      <c r="O321" s="59"/>
      <c r="P321" s="59">
        <f>K321+SUM(L321:O321)</f>
        <v>300</v>
      </c>
      <c r="Q321" s="59">
        <v>248.95</v>
      </c>
      <c r="R321" s="16">
        <f>IFERROR(Q321/$P321,0)</f>
        <v>0.82983333333333331</v>
      </c>
      <c r="S321" s="59"/>
      <c r="T321" s="16">
        <f>IFERROR(S321/$P321,0)</f>
        <v>0</v>
      </c>
      <c r="U321" s="59"/>
      <c r="V321" s="16">
        <f>IFERROR(U321/$P321,0)</f>
        <v>0</v>
      </c>
      <c r="W321" s="59"/>
      <c r="X321" s="60">
        <f>IFERROR(W321/$P321,0)</f>
        <v>0</v>
      </c>
      <c r="Y321" s="59">
        <f>K321</f>
        <v>300</v>
      </c>
      <c r="Z321" s="61">
        <f>Y321</f>
        <v>300</v>
      </c>
    </row>
    <row r="322" spans="1:26" ht="13.9" customHeight="1" x14ac:dyDescent="0.25">
      <c r="E322" s="65"/>
      <c r="F322" s="97" t="s">
        <v>218</v>
      </c>
      <c r="G322" s="67">
        <v>348.49</v>
      </c>
      <c r="H322" s="67">
        <v>0</v>
      </c>
      <c r="I322" s="67">
        <v>1600</v>
      </c>
      <c r="J322" s="67">
        <v>1653</v>
      </c>
      <c r="K322" s="67">
        <v>1650</v>
      </c>
      <c r="L322" s="67"/>
      <c r="M322" s="67"/>
      <c r="N322" s="67"/>
      <c r="O322" s="67"/>
      <c r="P322" s="67">
        <f>K322+SUM(L322:O322)</f>
        <v>1650</v>
      </c>
      <c r="Q322" s="67">
        <v>1324.97</v>
      </c>
      <c r="R322" s="68">
        <f>IFERROR(Q322/$P322,0)</f>
        <v>0.80301212121212118</v>
      </c>
      <c r="S322" s="67"/>
      <c r="T322" s="68">
        <f>IFERROR(S322/$P322,0)</f>
        <v>0</v>
      </c>
      <c r="U322" s="67"/>
      <c r="V322" s="68">
        <f>IFERROR(U322/$P322,0)</f>
        <v>0</v>
      </c>
      <c r="W322" s="67"/>
      <c r="X322" s="69">
        <f>IFERROR(W322/$P322,0)</f>
        <v>0</v>
      </c>
      <c r="Y322" s="67">
        <f>K322</f>
        <v>1650</v>
      </c>
      <c r="Z322" s="70">
        <f>Y322</f>
        <v>1650</v>
      </c>
    </row>
    <row r="323" spans="1:26" ht="13.9" customHeight="1" x14ac:dyDescent="0.25"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S323" s="59"/>
      <c r="U323" s="59"/>
      <c r="W323" s="59"/>
      <c r="Y323" s="59"/>
      <c r="Z323" s="59"/>
    </row>
    <row r="324" spans="1:26" ht="13.9" customHeight="1" x14ac:dyDescent="0.25">
      <c r="D324" s="73" t="s">
        <v>219</v>
      </c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4"/>
      <c r="S324" s="73"/>
      <c r="T324" s="74"/>
      <c r="U324" s="73"/>
      <c r="V324" s="74"/>
      <c r="W324" s="73"/>
      <c r="X324" s="74"/>
      <c r="Y324" s="73"/>
      <c r="Z324" s="73"/>
    </row>
    <row r="325" spans="1:26" ht="13.9" customHeight="1" x14ac:dyDescent="0.25">
      <c r="D325" s="21" t="s">
        <v>32</v>
      </c>
      <c r="E325" s="21" t="s">
        <v>33</v>
      </c>
      <c r="F325" s="21" t="s">
        <v>34</v>
      </c>
      <c r="G325" s="21" t="s">
        <v>1</v>
      </c>
      <c r="H325" s="21" t="s">
        <v>2</v>
      </c>
      <c r="I325" s="21" t="s">
        <v>3</v>
      </c>
      <c r="J325" s="21" t="s">
        <v>4</v>
      </c>
      <c r="K325" s="21" t="s">
        <v>5</v>
      </c>
      <c r="L325" s="21" t="s">
        <v>6</v>
      </c>
      <c r="M325" s="21" t="s">
        <v>7</v>
      </c>
      <c r="N325" s="21" t="s">
        <v>8</v>
      </c>
      <c r="O325" s="21" t="s">
        <v>9</v>
      </c>
      <c r="P325" s="21" t="s">
        <v>123</v>
      </c>
      <c r="Q325" s="21" t="s">
        <v>11</v>
      </c>
      <c r="R325" s="22" t="s">
        <v>12</v>
      </c>
      <c r="S325" s="21" t="s">
        <v>13</v>
      </c>
      <c r="T325" s="22" t="s">
        <v>14</v>
      </c>
      <c r="U325" s="21" t="s">
        <v>15</v>
      </c>
      <c r="V325" s="22" t="s">
        <v>16</v>
      </c>
      <c r="W325" s="21" t="s">
        <v>17</v>
      </c>
      <c r="X325" s="22" t="s">
        <v>18</v>
      </c>
      <c r="Y325" s="21" t="s">
        <v>19</v>
      </c>
      <c r="Z325" s="21" t="s">
        <v>20</v>
      </c>
    </row>
    <row r="326" spans="1:26" ht="13.9" hidden="1" customHeight="1" x14ac:dyDescent="0.25">
      <c r="A326" s="15">
        <v>5</v>
      </c>
      <c r="B326" s="15">
        <v>2</v>
      </c>
      <c r="C326" s="15">
        <v>2</v>
      </c>
      <c r="D326" s="51" t="s">
        <v>220</v>
      </c>
      <c r="E326" s="24">
        <v>630</v>
      </c>
      <c r="F326" s="24" t="s">
        <v>133</v>
      </c>
      <c r="G326" s="46">
        <v>0</v>
      </c>
      <c r="H326" s="46">
        <v>659.61</v>
      </c>
      <c r="I326" s="25">
        <v>0</v>
      </c>
      <c r="J326" s="25">
        <v>4037</v>
      </c>
      <c r="K326" s="25">
        <v>0</v>
      </c>
      <c r="L326" s="25"/>
      <c r="M326" s="25"/>
      <c r="N326" s="25"/>
      <c r="O326" s="25"/>
      <c r="P326" s="46">
        <f>K326+SUM(L326:O326)</f>
        <v>0</v>
      </c>
      <c r="Q326" s="46"/>
      <c r="R326" s="47">
        <f>IFERROR(Q326/$P326,0)</f>
        <v>0</v>
      </c>
      <c r="S326" s="46"/>
      <c r="T326" s="47">
        <f>IFERROR(S326/$P326,0)</f>
        <v>0</v>
      </c>
      <c r="U326" s="46"/>
      <c r="V326" s="47">
        <f>IFERROR(U326/$P326,0)</f>
        <v>0</v>
      </c>
      <c r="W326" s="46"/>
      <c r="X326" s="47">
        <f>IFERROR(W326/$P326,0)</f>
        <v>0</v>
      </c>
      <c r="Y326" s="25">
        <v>0</v>
      </c>
      <c r="Z326" s="25">
        <v>0</v>
      </c>
    </row>
    <row r="327" spans="1:26" ht="13.9" hidden="1" customHeight="1" x14ac:dyDescent="0.25">
      <c r="A327" s="15">
        <v>5</v>
      </c>
      <c r="B327" s="15">
        <v>2</v>
      </c>
      <c r="C327" s="15">
        <v>2</v>
      </c>
      <c r="D327" s="79" t="s">
        <v>21</v>
      </c>
      <c r="E327" s="48">
        <v>111</v>
      </c>
      <c r="F327" s="48" t="s">
        <v>23</v>
      </c>
      <c r="G327" s="49">
        <f t="shared" ref="G327:Q327" si="179">SUM(G326)</f>
        <v>0</v>
      </c>
      <c r="H327" s="49">
        <f t="shared" si="179"/>
        <v>659.61</v>
      </c>
      <c r="I327" s="49">
        <f t="shared" si="179"/>
        <v>0</v>
      </c>
      <c r="J327" s="49">
        <f t="shared" si="179"/>
        <v>4037</v>
      </c>
      <c r="K327" s="49">
        <f t="shared" si="179"/>
        <v>0</v>
      </c>
      <c r="L327" s="49">
        <f t="shared" si="179"/>
        <v>0</v>
      </c>
      <c r="M327" s="49">
        <f t="shared" si="179"/>
        <v>0</v>
      </c>
      <c r="N327" s="49">
        <f t="shared" si="179"/>
        <v>0</v>
      </c>
      <c r="O327" s="49">
        <f t="shared" si="179"/>
        <v>0</v>
      </c>
      <c r="P327" s="49">
        <f t="shared" si="179"/>
        <v>0</v>
      </c>
      <c r="Q327" s="49">
        <f t="shared" si="179"/>
        <v>0</v>
      </c>
      <c r="R327" s="50">
        <f>IFERROR(Q327/$P327,0)</f>
        <v>0</v>
      </c>
      <c r="S327" s="49">
        <f>SUM(S326)</f>
        <v>0</v>
      </c>
      <c r="T327" s="50">
        <f>IFERROR(S327/$P327,0)</f>
        <v>0</v>
      </c>
      <c r="U327" s="49">
        <f>SUM(U326)</f>
        <v>0</v>
      </c>
      <c r="V327" s="50">
        <f>IFERROR(U327/$P327,0)</f>
        <v>0</v>
      </c>
      <c r="W327" s="49">
        <f>SUM(W326)</f>
        <v>0</v>
      </c>
      <c r="X327" s="50">
        <f>IFERROR(W327/$P327,0)</f>
        <v>0</v>
      </c>
      <c r="Y327" s="49">
        <f>SUM(Y326)</f>
        <v>0</v>
      </c>
      <c r="Z327" s="49">
        <f>SUM(Z326)</f>
        <v>0</v>
      </c>
    </row>
    <row r="328" spans="1:26" ht="13.9" customHeight="1" x14ac:dyDescent="0.25">
      <c r="A328" s="15">
        <v>5</v>
      </c>
      <c r="B328" s="15">
        <v>2</v>
      </c>
      <c r="C328" s="15">
        <v>2</v>
      </c>
      <c r="D328" s="84" t="s">
        <v>220</v>
      </c>
      <c r="E328" s="24">
        <v>630</v>
      </c>
      <c r="F328" s="24" t="s">
        <v>133</v>
      </c>
      <c r="G328" s="25">
        <v>10197.35</v>
      </c>
      <c r="H328" s="25">
        <v>3131.21</v>
      </c>
      <c r="I328" s="25">
        <v>4511</v>
      </c>
      <c r="J328" s="25">
        <v>8125</v>
      </c>
      <c r="K328" s="25">
        <v>3621</v>
      </c>
      <c r="L328" s="25"/>
      <c r="M328" s="25"/>
      <c r="N328" s="25"/>
      <c r="O328" s="25"/>
      <c r="P328" s="25">
        <f>K328+SUM(L328:O328)</f>
        <v>3621</v>
      </c>
      <c r="Q328" s="25">
        <v>672.92</v>
      </c>
      <c r="R328" s="26">
        <f>IFERROR(Q328/$P328,0)</f>
        <v>0.18583816625241645</v>
      </c>
      <c r="S328" s="25"/>
      <c r="T328" s="26">
        <f>IFERROR(S328/$P328,0)</f>
        <v>0</v>
      </c>
      <c r="U328" s="25"/>
      <c r="V328" s="26">
        <f>IFERROR(U328/$P328,0)</f>
        <v>0</v>
      </c>
      <c r="W328" s="25"/>
      <c r="X328" s="26">
        <f>IFERROR(W328/$P328,0)</f>
        <v>0</v>
      </c>
      <c r="Y328" s="25">
        <f>K328</f>
        <v>3621</v>
      </c>
      <c r="Z328" s="25">
        <f>Y328</f>
        <v>3621</v>
      </c>
    </row>
    <row r="329" spans="1:26" ht="13.9" customHeight="1" x14ac:dyDescent="0.25">
      <c r="A329" s="15">
        <v>5</v>
      </c>
      <c r="B329" s="15">
        <v>2</v>
      </c>
      <c r="C329" s="15">
        <v>2</v>
      </c>
      <c r="D329" s="79" t="s">
        <v>21</v>
      </c>
      <c r="E329" s="48">
        <v>41</v>
      </c>
      <c r="F329" s="48" t="s">
        <v>23</v>
      </c>
      <c r="G329" s="49">
        <f t="shared" ref="G329:Q329" si="180">SUM(G328)</f>
        <v>10197.35</v>
      </c>
      <c r="H329" s="49">
        <f t="shared" si="180"/>
        <v>3131.21</v>
      </c>
      <c r="I329" s="49">
        <f t="shared" si="180"/>
        <v>4511</v>
      </c>
      <c r="J329" s="49">
        <f t="shared" si="180"/>
        <v>8125</v>
      </c>
      <c r="K329" s="49">
        <f t="shared" si="180"/>
        <v>3621</v>
      </c>
      <c r="L329" s="49">
        <f t="shared" si="180"/>
        <v>0</v>
      </c>
      <c r="M329" s="49">
        <f t="shared" si="180"/>
        <v>0</v>
      </c>
      <c r="N329" s="49">
        <f t="shared" si="180"/>
        <v>0</v>
      </c>
      <c r="O329" s="49">
        <f t="shared" si="180"/>
        <v>0</v>
      </c>
      <c r="P329" s="49">
        <f t="shared" si="180"/>
        <v>3621</v>
      </c>
      <c r="Q329" s="49">
        <f t="shared" si="180"/>
        <v>672.92</v>
      </c>
      <c r="R329" s="50">
        <f>IFERROR(Q329/$P329,0)</f>
        <v>0.18583816625241645</v>
      </c>
      <c r="S329" s="49">
        <f>SUM(S328)</f>
        <v>0</v>
      </c>
      <c r="T329" s="50">
        <f>IFERROR(S329/$P329,0)</f>
        <v>0</v>
      </c>
      <c r="U329" s="49">
        <f>SUM(U328)</f>
        <v>0</v>
      </c>
      <c r="V329" s="50">
        <f>IFERROR(U329/$P329,0)</f>
        <v>0</v>
      </c>
      <c r="W329" s="49">
        <f>SUM(W328)</f>
        <v>0</v>
      </c>
      <c r="X329" s="50">
        <f>IFERROR(W329/$P329,0)</f>
        <v>0</v>
      </c>
      <c r="Y329" s="49">
        <f>SUM(Y328)</f>
        <v>3621</v>
      </c>
      <c r="Z329" s="49">
        <f>SUM(Z328)</f>
        <v>3621</v>
      </c>
    </row>
    <row r="330" spans="1:26" ht="13.9" customHeight="1" x14ac:dyDescent="0.25">
      <c r="A330" s="15">
        <v>5</v>
      </c>
      <c r="B330" s="15">
        <v>2</v>
      </c>
      <c r="C330" s="15">
        <v>2</v>
      </c>
      <c r="D330" s="86"/>
      <c r="E330" s="87"/>
      <c r="F330" s="27" t="s">
        <v>126</v>
      </c>
      <c r="G330" s="28">
        <f t="shared" ref="G330:Q330" si="181">G327+G329</f>
        <v>10197.35</v>
      </c>
      <c r="H330" s="28">
        <f t="shared" si="181"/>
        <v>3790.82</v>
      </c>
      <c r="I330" s="28">
        <f t="shared" si="181"/>
        <v>4511</v>
      </c>
      <c r="J330" s="28">
        <f t="shared" si="181"/>
        <v>12162</v>
      </c>
      <c r="K330" s="28">
        <f t="shared" si="181"/>
        <v>3621</v>
      </c>
      <c r="L330" s="28">
        <f t="shared" si="181"/>
        <v>0</v>
      </c>
      <c r="M330" s="28">
        <f t="shared" si="181"/>
        <v>0</v>
      </c>
      <c r="N330" s="28">
        <f t="shared" si="181"/>
        <v>0</v>
      </c>
      <c r="O330" s="28">
        <f t="shared" si="181"/>
        <v>0</v>
      </c>
      <c r="P330" s="28">
        <f t="shared" si="181"/>
        <v>3621</v>
      </c>
      <c r="Q330" s="28">
        <f t="shared" si="181"/>
        <v>672.92</v>
      </c>
      <c r="R330" s="29">
        <f>IFERROR(Q330/$P330,0)</f>
        <v>0.18583816625241645</v>
      </c>
      <c r="S330" s="28">
        <f>S327+S329</f>
        <v>0</v>
      </c>
      <c r="T330" s="29">
        <f>IFERROR(S330/$P330,0)</f>
        <v>0</v>
      </c>
      <c r="U330" s="28">
        <f>U327+U329</f>
        <v>0</v>
      </c>
      <c r="V330" s="29">
        <f>IFERROR(U330/$P330,0)</f>
        <v>0</v>
      </c>
      <c r="W330" s="28">
        <f>W327+W329</f>
        <v>0</v>
      </c>
      <c r="X330" s="29">
        <f>IFERROR(W330/$P330,0)</f>
        <v>0</v>
      </c>
      <c r="Y330" s="28">
        <f>Y327+Y329</f>
        <v>3621</v>
      </c>
      <c r="Z330" s="28">
        <f>Z327+Z329</f>
        <v>3621</v>
      </c>
    </row>
    <row r="332" spans="1:26" ht="13.9" customHeight="1" x14ac:dyDescent="0.25">
      <c r="E332" s="52" t="s">
        <v>55</v>
      </c>
      <c r="F332" s="30" t="s">
        <v>221</v>
      </c>
      <c r="G332" s="53">
        <v>1441.24</v>
      </c>
      <c r="H332" s="53">
        <v>3012.57</v>
      </c>
      <c r="I332" s="53">
        <v>3013</v>
      </c>
      <c r="J332" s="53">
        <v>1197</v>
      </c>
      <c r="K332" s="53">
        <v>1200</v>
      </c>
      <c r="L332" s="53"/>
      <c r="M332" s="53"/>
      <c r="N332" s="53"/>
      <c r="O332" s="53"/>
      <c r="P332" s="53">
        <f>K332+SUM(L332:O332)</f>
        <v>1200</v>
      </c>
      <c r="Q332" s="53">
        <v>372.92</v>
      </c>
      <c r="R332" s="54">
        <f>IFERROR(Q332/$P332,0)</f>
        <v>0.31076666666666669</v>
      </c>
      <c r="S332" s="53"/>
      <c r="T332" s="54">
        <f>IFERROR(S332/$P332,0)</f>
        <v>0</v>
      </c>
      <c r="U332" s="53"/>
      <c r="V332" s="54">
        <f>IFERROR(U332/$P332,0)</f>
        <v>0</v>
      </c>
      <c r="W332" s="53"/>
      <c r="X332" s="55">
        <f>IFERROR(W332/$P332,0)</f>
        <v>0</v>
      </c>
      <c r="Y332" s="53">
        <f>K332</f>
        <v>1200</v>
      </c>
      <c r="Z332" s="56">
        <f>Y332</f>
        <v>1200</v>
      </c>
    </row>
    <row r="333" spans="1:26" ht="13.9" customHeight="1" x14ac:dyDescent="0.25">
      <c r="E333" s="100"/>
      <c r="F333" s="119" t="s">
        <v>222</v>
      </c>
      <c r="G333" s="105">
        <v>4930</v>
      </c>
      <c r="H333" s="105">
        <v>0</v>
      </c>
      <c r="I333" s="105">
        <v>250</v>
      </c>
      <c r="J333" s="105">
        <v>300</v>
      </c>
      <c r="K333" s="105">
        <v>300</v>
      </c>
      <c r="L333" s="105"/>
      <c r="M333" s="105"/>
      <c r="N333" s="105"/>
      <c r="O333" s="105"/>
      <c r="P333" s="105">
        <f>K333+SUM(L333:O333)</f>
        <v>300</v>
      </c>
      <c r="Q333" s="105">
        <v>300</v>
      </c>
      <c r="R333" s="126">
        <f>IFERROR(Q333/$P333,0)</f>
        <v>1</v>
      </c>
      <c r="S333" s="105"/>
      <c r="T333" s="126">
        <f>IFERROR(S333/$P333,0)</f>
        <v>0</v>
      </c>
      <c r="U333" s="105"/>
      <c r="V333" s="126">
        <f>IFERROR(U333/$P333,0)</f>
        <v>0</v>
      </c>
      <c r="W333" s="105"/>
      <c r="X333" s="127">
        <f>IFERROR(W333/$P333,0)</f>
        <v>0</v>
      </c>
      <c r="Y333" s="95">
        <f>K333</f>
        <v>300</v>
      </c>
      <c r="Z333" s="61">
        <f>Y333</f>
        <v>300</v>
      </c>
    </row>
    <row r="334" spans="1:26" ht="13.9" hidden="1" customHeight="1" x14ac:dyDescent="0.25">
      <c r="E334" s="57"/>
      <c r="F334" s="92" t="s">
        <v>223</v>
      </c>
      <c r="G334" s="95"/>
      <c r="H334" s="95"/>
      <c r="I334" s="95">
        <v>0</v>
      </c>
      <c r="J334" s="95">
        <v>4488</v>
      </c>
      <c r="K334" s="95">
        <v>0</v>
      </c>
      <c r="L334" s="95"/>
      <c r="M334" s="95"/>
      <c r="N334" s="95"/>
      <c r="O334" s="95"/>
      <c r="P334" s="95">
        <f>K334+SUM(L334:O334)</f>
        <v>0</v>
      </c>
      <c r="Q334" s="95"/>
      <c r="R334" s="96">
        <f>IFERROR(Q334/$P334,0)</f>
        <v>0</v>
      </c>
      <c r="S334" s="95"/>
      <c r="T334" s="96">
        <f>IFERROR(S334/$P334,0)</f>
        <v>0</v>
      </c>
      <c r="U334" s="95"/>
      <c r="V334" s="96">
        <f>IFERROR(U334/$P334,0)</f>
        <v>0</v>
      </c>
      <c r="W334" s="95"/>
      <c r="X334" s="60">
        <f>IFERROR(W334/$P334,0)</f>
        <v>0</v>
      </c>
      <c r="Y334" s="95">
        <v>0</v>
      </c>
      <c r="Z334" s="61">
        <v>0</v>
      </c>
    </row>
    <row r="335" spans="1:26" ht="13.9" hidden="1" customHeight="1" x14ac:dyDescent="0.25">
      <c r="E335" s="65"/>
      <c r="F335" s="97" t="s">
        <v>224</v>
      </c>
      <c r="G335" s="67"/>
      <c r="H335" s="67"/>
      <c r="I335" s="67">
        <v>0</v>
      </c>
      <c r="J335" s="67">
        <v>4037</v>
      </c>
      <c r="K335" s="67">
        <v>0</v>
      </c>
      <c r="L335" s="67"/>
      <c r="M335" s="67"/>
      <c r="N335" s="67"/>
      <c r="O335" s="67"/>
      <c r="P335" s="67">
        <f>K335+SUM(L335:O335)</f>
        <v>0</v>
      </c>
      <c r="Q335" s="67"/>
      <c r="R335" s="68">
        <f>IFERROR(Q335/$P335,0)</f>
        <v>0</v>
      </c>
      <c r="S335" s="67"/>
      <c r="T335" s="68">
        <f>IFERROR(S335/$P335,0)</f>
        <v>0</v>
      </c>
      <c r="U335" s="67"/>
      <c r="V335" s="68">
        <f>IFERROR(U335/$P335,0)</f>
        <v>0</v>
      </c>
      <c r="W335" s="67"/>
      <c r="X335" s="69">
        <f>IFERROR(W335/$P335,0)</f>
        <v>0</v>
      </c>
      <c r="Y335" s="67">
        <v>0</v>
      </c>
      <c r="Z335" s="70">
        <v>0</v>
      </c>
    </row>
    <row r="337" spans="1:26" ht="13.9" customHeight="1" x14ac:dyDescent="0.25">
      <c r="D337" s="73" t="s">
        <v>225</v>
      </c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4"/>
      <c r="S337" s="73"/>
      <c r="T337" s="74"/>
      <c r="U337" s="73"/>
      <c r="V337" s="74"/>
      <c r="W337" s="73"/>
      <c r="X337" s="74"/>
      <c r="Y337" s="73"/>
      <c r="Z337" s="73"/>
    </row>
    <row r="338" spans="1:26" ht="13.9" customHeight="1" x14ac:dyDescent="0.25">
      <c r="D338" s="21" t="s">
        <v>32</v>
      </c>
      <c r="E338" s="21" t="s">
        <v>33</v>
      </c>
      <c r="F338" s="21" t="s">
        <v>34</v>
      </c>
      <c r="G338" s="21" t="s">
        <v>1</v>
      </c>
      <c r="H338" s="21" t="s">
        <v>2</v>
      </c>
      <c r="I338" s="21" t="s">
        <v>3</v>
      </c>
      <c r="J338" s="21" t="s">
        <v>4</v>
      </c>
      <c r="K338" s="21" t="s">
        <v>5</v>
      </c>
      <c r="L338" s="21" t="s">
        <v>6</v>
      </c>
      <c r="M338" s="21" t="s">
        <v>7</v>
      </c>
      <c r="N338" s="21" t="s">
        <v>8</v>
      </c>
      <c r="O338" s="21" t="s">
        <v>9</v>
      </c>
      <c r="P338" s="21" t="s">
        <v>123</v>
      </c>
      <c r="Q338" s="21" t="s">
        <v>11</v>
      </c>
      <c r="R338" s="22" t="s">
        <v>12</v>
      </c>
      <c r="S338" s="21" t="s">
        <v>13</v>
      </c>
      <c r="T338" s="22" t="s">
        <v>14</v>
      </c>
      <c r="U338" s="21" t="s">
        <v>15</v>
      </c>
      <c r="V338" s="22" t="s">
        <v>16</v>
      </c>
      <c r="W338" s="21" t="s">
        <v>17</v>
      </c>
      <c r="X338" s="22" t="s">
        <v>18</v>
      </c>
      <c r="Y338" s="21" t="s">
        <v>19</v>
      </c>
      <c r="Z338" s="21" t="s">
        <v>20</v>
      </c>
    </row>
    <row r="339" spans="1:26" ht="13.9" hidden="1" customHeight="1" x14ac:dyDescent="0.25">
      <c r="A339" s="15">
        <v>5</v>
      </c>
      <c r="B339" s="15">
        <v>2</v>
      </c>
      <c r="C339" s="15">
        <v>3</v>
      </c>
      <c r="D339" s="5" t="s">
        <v>220</v>
      </c>
      <c r="E339" s="24">
        <v>610</v>
      </c>
      <c r="F339" s="24" t="s">
        <v>131</v>
      </c>
      <c r="G339" s="25">
        <v>6042.59</v>
      </c>
      <c r="H339" s="25">
        <v>0</v>
      </c>
      <c r="I339" s="25">
        <v>0</v>
      </c>
      <c r="J339" s="25">
        <v>0</v>
      </c>
      <c r="K339" s="25">
        <v>0</v>
      </c>
      <c r="L339" s="25"/>
      <c r="M339" s="25"/>
      <c r="N339" s="25"/>
      <c r="O339" s="25"/>
      <c r="P339" s="25">
        <f>K339+SUM(L339:O339)</f>
        <v>0</v>
      </c>
      <c r="Q339" s="25"/>
      <c r="R339" s="26">
        <f t="shared" ref="R339:R348" si="182">IFERROR(Q339/$P339,0)</f>
        <v>0</v>
      </c>
      <c r="S339" s="25"/>
      <c r="T339" s="26">
        <f t="shared" ref="T339:T348" si="183">IFERROR(S339/$P339,0)</f>
        <v>0</v>
      </c>
      <c r="U339" s="25"/>
      <c r="V339" s="26">
        <f t="shared" ref="V339:V348" si="184">IFERROR(U339/$P339,0)</f>
        <v>0</v>
      </c>
      <c r="W339" s="25"/>
      <c r="X339" s="26">
        <f t="shared" ref="X339:X348" si="185">IFERROR(W339/$P339,0)</f>
        <v>0</v>
      </c>
      <c r="Y339" s="25">
        <v>0</v>
      </c>
      <c r="Z339" s="25">
        <f>Y339</f>
        <v>0</v>
      </c>
    </row>
    <row r="340" spans="1:26" ht="13.9" hidden="1" customHeight="1" x14ac:dyDescent="0.25">
      <c r="A340" s="15">
        <v>5</v>
      </c>
      <c r="B340" s="15">
        <v>2</v>
      </c>
      <c r="C340" s="15">
        <v>3</v>
      </c>
      <c r="D340" s="5"/>
      <c r="E340" s="24">
        <v>620</v>
      </c>
      <c r="F340" s="24" t="s">
        <v>132</v>
      </c>
      <c r="G340" s="25">
        <v>2247.6999999999998</v>
      </c>
      <c r="H340" s="25">
        <v>0</v>
      </c>
      <c r="I340" s="25">
        <v>0</v>
      </c>
      <c r="J340" s="25">
        <v>0</v>
      </c>
      <c r="K340" s="25">
        <v>0</v>
      </c>
      <c r="L340" s="25"/>
      <c r="M340" s="25"/>
      <c r="N340" s="25"/>
      <c r="O340" s="25"/>
      <c r="P340" s="25">
        <f>K340+SUM(L340:O340)</f>
        <v>0</v>
      </c>
      <c r="Q340" s="25"/>
      <c r="R340" s="26">
        <f t="shared" si="182"/>
        <v>0</v>
      </c>
      <c r="S340" s="25"/>
      <c r="T340" s="26">
        <f t="shared" si="183"/>
        <v>0</v>
      </c>
      <c r="U340" s="25"/>
      <c r="V340" s="26">
        <f t="shared" si="184"/>
        <v>0</v>
      </c>
      <c r="W340" s="25"/>
      <c r="X340" s="26">
        <f t="shared" si="185"/>
        <v>0</v>
      </c>
      <c r="Y340" s="25">
        <v>0</v>
      </c>
      <c r="Z340" s="25">
        <f>Y340</f>
        <v>0</v>
      </c>
    </row>
    <row r="341" spans="1:26" ht="13.9" hidden="1" customHeight="1" x14ac:dyDescent="0.25">
      <c r="A341" s="15">
        <v>5</v>
      </c>
      <c r="B341" s="15">
        <v>2</v>
      </c>
      <c r="C341" s="15">
        <v>3</v>
      </c>
      <c r="D341" s="108" t="s">
        <v>21</v>
      </c>
      <c r="E341" s="85" t="s">
        <v>226</v>
      </c>
      <c r="F341" s="48" t="s">
        <v>227</v>
      </c>
      <c r="G341" s="49">
        <f t="shared" ref="G341:Q341" si="186">SUM(G339:G340)</f>
        <v>8290.2900000000009</v>
      </c>
      <c r="H341" s="49">
        <f t="shared" si="186"/>
        <v>0</v>
      </c>
      <c r="I341" s="49">
        <f t="shared" si="186"/>
        <v>0</v>
      </c>
      <c r="J341" s="49">
        <f t="shared" si="186"/>
        <v>0</v>
      </c>
      <c r="K341" s="49">
        <f t="shared" si="186"/>
        <v>0</v>
      </c>
      <c r="L341" s="49">
        <f t="shared" si="186"/>
        <v>0</v>
      </c>
      <c r="M341" s="49">
        <f t="shared" si="186"/>
        <v>0</v>
      </c>
      <c r="N341" s="49">
        <f t="shared" si="186"/>
        <v>0</v>
      </c>
      <c r="O341" s="49">
        <f t="shared" si="186"/>
        <v>0</v>
      </c>
      <c r="P341" s="49">
        <f t="shared" si="186"/>
        <v>0</v>
      </c>
      <c r="Q341" s="49">
        <f t="shared" si="186"/>
        <v>0</v>
      </c>
      <c r="R341" s="50">
        <f t="shared" si="182"/>
        <v>0</v>
      </c>
      <c r="S341" s="49">
        <f>SUM(S339:S340)</f>
        <v>0</v>
      </c>
      <c r="T341" s="50">
        <f t="shared" si="183"/>
        <v>0</v>
      </c>
      <c r="U341" s="49">
        <f>SUM(U339:U340)</f>
        <v>0</v>
      </c>
      <c r="V341" s="50">
        <f t="shared" si="184"/>
        <v>0</v>
      </c>
      <c r="W341" s="49">
        <f>SUM(W339:W340)</f>
        <v>0</v>
      </c>
      <c r="X341" s="50">
        <f t="shared" si="185"/>
        <v>0</v>
      </c>
      <c r="Y341" s="49">
        <f>SUM(Y339:Y340)</f>
        <v>0</v>
      </c>
      <c r="Z341" s="49">
        <f>SUM(Z339:Z340)</f>
        <v>0</v>
      </c>
    </row>
    <row r="342" spans="1:26" ht="13.9" customHeight="1" x14ac:dyDescent="0.25">
      <c r="A342" s="15">
        <v>5</v>
      </c>
      <c r="B342" s="15">
        <v>2</v>
      </c>
      <c r="C342" s="15">
        <v>3</v>
      </c>
      <c r="D342" s="5" t="s">
        <v>220</v>
      </c>
      <c r="E342" s="24">
        <v>610</v>
      </c>
      <c r="F342" s="24" t="s">
        <v>131</v>
      </c>
      <c r="G342" s="25">
        <v>4162.46</v>
      </c>
      <c r="H342" s="25">
        <v>2450</v>
      </c>
      <c r="I342" s="25">
        <v>4500</v>
      </c>
      <c r="J342" s="25">
        <v>4150</v>
      </c>
      <c r="K342" s="25">
        <v>10526</v>
      </c>
      <c r="L342" s="25"/>
      <c r="M342" s="25"/>
      <c r="N342" s="25"/>
      <c r="O342" s="25"/>
      <c r="P342" s="25">
        <f>K342+SUM(L342:O342)</f>
        <v>10526</v>
      </c>
      <c r="Q342" s="25">
        <v>1191</v>
      </c>
      <c r="R342" s="26">
        <f t="shared" si="182"/>
        <v>0.11314839445183356</v>
      </c>
      <c r="S342" s="25"/>
      <c r="T342" s="26">
        <f t="shared" si="183"/>
        <v>0</v>
      </c>
      <c r="U342" s="25"/>
      <c r="V342" s="26">
        <f t="shared" si="184"/>
        <v>0</v>
      </c>
      <c r="W342" s="25"/>
      <c r="X342" s="26">
        <f t="shared" si="185"/>
        <v>0</v>
      </c>
      <c r="Y342" s="25">
        <v>10212</v>
      </c>
      <c r="Z342" s="25">
        <v>10723</v>
      </c>
    </row>
    <row r="343" spans="1:26" ht="13.9" customHeight="1" x14ac:dyDescent="0.25">
      <c r="A343" s="15">
        <v>5</v>
      </c>
      <c r="B343" s="15">
        <v>2</v>
      </c>
      <c r="C343" s="15">
        <v>3</v>
      </c>
      <c r="D343" s="5"/>
      <c r="E343" s="24">
        <v>620</v>
      </c>
      <c r="F343" s="24" t="s">
        <v>132</v>
      </c>
      <c r="G343" s="25">
        <v>1246.9000000000001</v>
      </c>
      <c r="H343" s="25">
        <v>819.49</v>
      </c>
      <c r="I343" s="25">
        <v>1573</v>
      </c>
      <c r="J343" s="25">
        <v>1606</v>
      </c>
      <c r="K343" s="25">
        <v>3784</v>
      </c>
      <c r="L343" s="25"/>
      <c r="M343" s="25"/>
      <c r="N343" s="25"/>
      <c r="O343" s="25"/>
      <c r="P343" s="25">
        <f>K343+SUM(L343:O343)</f>
        <v>3784</v>
      </c>
      <c r="Q343" s="25">
        <v>428.14</v>
      </c>
      <c r="R343" s="26">
        <f t="shared" si="182"/>
        <v>0.11314482029598308</v>
      </c>
      <c r="S343" s="25"/>
      <c r="T343" s="26">
        <f t="shared" si="183"/>
        <v>0</v>
      </c>
      <c r="U343" s="25"/>
      <c r="V343" s="26">
        <f t="shared" si="184"/>
        <v>0</v>
      </c>
      <c r="W343" s="25"/>
      <c r="X343" s="26">
        <f t="shared" si="185"/>
        <v>0</v>
      </c>
      <c r="Y343" s="25">
        <v>3671</v>
      </c>
      <c r="Z343" s="25">
        <v>3855</v>
      </c>
    </row>
    <row r="344" spans="1:26" ht="13.9" customHeight="1" x14ac:dyDescent="0.25">
      <c r="A344" s="15">
        <v>5</v>
      </c>
      <c r="B344" s="15">
        <v>2</v>
      </c>
      <c r="C344" s="15">
        <v>3</v>
      </c>
      <c r="D344" s="5"/>
      <c r="E344" s="24">
        <v>630</v>
      </c>
      <c r="F344" s="24" t="s">
        <v>133</v>
      </c>
      <c r="G344" s="25">
        <v>922.62</v>
      </c>
      <c r="H344" s="25">
        <v>24.53</v>
      </c>
      <c r="I344" s="25">
        <v>41</v>
      </c>
      <c r="J344" s="25">
        <v>44</v>
      </c>
      <c r="K344" s="25">
        <f>98+150</f>
        <v>248</v>
      </c>
      <c r="L344" s="25"/>
      <c r="M344" s="25"/>
      <c r="N344" s="25"/>
      <c r="O344" s="25"/>
      <c r="P344" s="25">
        <f>K344+SUM(L344:O344)</f>
        <v>248</v>
      </c>
      <c r="Q344" s="25">
        <v>10.9</v>
      </c>
      <c r="R344" s="26">
        <f t="shared" si="182"/>
        <v>4.3951612903225808E-2</v>
      </c>
      <c r="S344" s="25"/>
      <c r="T344" s="26">
        <f t="shared" si="183"/>
        <v>0</v>
      </c>
      <c r="U344" s="25"/>
      <c r="V344" s="26">
        <f t="shared" si="184"/>
        <v>0</v>
      </c>
      <c r="W344" s="25"/>
      <c r="X344" s="26">
        <f t="shared" si="185"/>
        <v>0</v>
      </c>
      <c r="Y344" s="25">
        <f>93+150</f>
        <v>243</v>
      </c>
      <c r="Z344" s="25">
        <f>99+150</f>
        <v>249</v>
      </c>
    </row>
    <row r="345" spans="1:26" ht="13.9" customHeight="1" x14ac:dyDescent="0.25">
      <c r="A345" s="15">
        <v>5</v>
      </c>
      <c r="B345" s="15">
        <v>2</v>
      </c>
      <c r="C345" s="15">
        <v>3</v>
      </c>
      <c r="D345" s="108" t="s">
        <v>21</v>
      </c>
      <c r="E345" s="48">
        <v>41</v>
      </c>
      <c r="F345" s="48" t="s">
        <v>23</v>
      </c>
      <c r="G345" s="49">
        <f t="shared" ref="G345:Q345" si="187">SUM(G342:G344)</f>
        <v>6331.9800000000005</v>
      </c>
      <c r="H345" s="49">
        <f t="shared" si="187"/>
        <v>3294.02</v>
      </c>
      <c r="I345" s="49">
        <f t="shared" si="187"/>
        <v>6114</v>
      </c>
      <c r="J345" s="49">
        <f t="shared" si="187"/>
        <v>5800</v>
      </c>
      <c r="K345" s="49">
        <f t="shared" si="187"/>
        <v>14558</v>
      </c>
      <c r="L345" s="49">
        <f t="shared" si="187"/>
        <v>0</v>
      </c>
      <c r="M345" s="49">
        <f t="shared" si="187"/>
        <v>0</v>
      </c>
      <c r="N345" s="49">
        <f t="shared" si="187"/>
        <v>0</v>
      </c>
      <c r="O345" s="49">
        <f t="shared" si="187"/>
        <v>0</v>
      </c>
      <c r="P345" s="49">
        <f t="shared" si="187"/>
        <v>14558</v>
      </c>
      <c r="Q345" s="49">
        <f t="shared" si="187"/>
        <v>1630.04</v>
      </c>
      <c r="R345" s="50">
        <f t="shared" si="182"/>
        <v>0.11196867701607363</v>
      </c>
      <c r="S345" s="49">
        <f>SUM(S342:S344)</f>
        <v>0</v>
      </c>
      <c r="T345" s="50">
        <f t="shared" si="183"/>
        <v>0</v>
      </c>
      <c r="U345" s="49">
        <f>SUM(U342:U344)</f>
        <v>0</v>
      </c>
      <c r="V345" s="50">
        <f t="shared" si="184"/>
        <v>0</v>
      </c>
      <c r="W345" s="49">
        <f>SUM(W342:W344)</f>
        <v>0</v>
      </c>
      <c r="X345" s="50">
        <f t="shared" si="185"/>
        <v>0</v>
      </c>
      <c r="Y345" s="49">
        <f>SUM(Y342:Y344)</f>
        <v>14126</v>
      </c>
      <c r="Z345" s="49">
        <f>SUM(Z342:Z344)</f>
        <v>14827</v>
      </c>
    </row>
    <row r="346" spans="1:26" ht="13.9" hidden="1" customHeight="1" x14ac:dyDescent="0.25">
      <c r="A346" s="15">
        <v>5</v>
      </c>
      <c r="B346" s="15">
        <v>2</v>
      </c>
      <c r="C346" s="15">
        <v>3</v>
      </c>
      <c r="D346" s="135" t="s">
        <v>220</v>
      </c>
      <c r="E346" s="24">
        <v>640</v>
      </c>
      <c r="F346" s="24" t="s">
        <v>134</v>
      </c>
      <c r="G346" s="25">
        <v>138.36000000000001</v>
      </c>
      <c r="H346" s="25">
        <v>0</v>
      </c>
      <c r="I346" s="25">
        <v>0</v>
      </c>
      <c r="J346" s="25">
        <v>0</v>
      </c>
      <c r="K346" s="25">
        <v>0</v>
      </c>
      <c r="L346" s="25"/>
      <c r="M346" s="25"/>
      <c r="N346" s="25"/>
      <c r="O346" s="25"/>
      <c r="P346" s="25">
        <f>K346+SUM(L346:O346)</f>
        <v>0</v>
      </c>
      <c r="Q346" s="25"/>
      <c r="R346" s="26">
        <f t="shared" si="182"/>
        <v>0</v>
      </c>
      <c r="S346" s="25"/>
      <c r="T346" s="26">
        <f t="shared" si="183"/>
        <v>0</v>
      </c>
      <c r="U346" s="25"/>
      <c r="V346" s="26">
        <f t="shared" si="184"/>
        <v>0</v>
      </c>
      <c r="W346" s="25"/>
      <c r="X346" s="26">
        <f t="shared" si="185"/>
        <v>0</v>
      </c>
      <c r="Y346" s="25">
        <v>0</v>
      </c>
      <c r="Z346" s="25">
        <v>0</v>
      </c>
    </row>
    <row r="347" spans="1:26" ht="13.9" hidden="1" customHeight="1" x14ac:dyDescent="0.25">
      <c r="A347" s="15">
        <v>5</v>
      </c>
      <c r="B347" s="15">
        <v>2</v>
      </c>
      <c r="C347" s="15">
        <v>3</v>
      </c>
      <c r="D347" s="108" t="s">
        <v>21</v>
      </c>
      <c r="E347" s="48">
        <v>72</v>
      </c>
      <c r="F347" s="48" t="s">
        <v>25</v>
      </c>
      <c r="G347" s="49">
        <f t="shared" ref="G347:Q347" si="188">SUM(G346)</f>
        <v>138.36000000000001</v>
      </c>
      <c r="H347" s="49">
        <f t="shared" si="188"/>
        <v>0</v>
      </c>
      <c r="I347" s="49">
        <f t="shared" si="188"/>
        <v>0</v>
      </c>
      <c r="J347" s="49">
        <f t="shared" si="188"/>
        <v>0</v>
      </c>
      <c r="K347" s="49">
        <f t="shared" si="188"/>
        <v>0</v>
      </c>
      <c r="L347" s="49">
        <f t="shared" si="188"/>
        <v>0</v>
      </c>
      <c r="M347" s="49">
        <f t="shared" si="188"/>
        <v>0</v>
      </c>
      <c r="N347" s="49">
        <f t="shared" si="188"/>
        <v>0</v>
      </c>
      <c r="O347" s="49">
        <f t="shared" si="188"/>
        <v>0</v>
      </c>
      <c r="P347" s="49">
        <f t="shared" si="188"/>
        <v>0</v>
      </c>
      <c r="Q347" s="49">
        <f t="shared" si="188"/>
        <v>0</v>
      </c>
      <c r="R347" s="50">
        <f t="shared" si="182"/>
        <v>0</v>
      </c>
      <c r="S347" s="49">
        <f>SUM(S346)</f>
        <v>0</v>
      </c>
      <c r="T347" s="50">
        <f t="shared" si="183"/>
        <v>0</v>
      </c>
      <c r="U347" s="49">
        <f>SUM(U346)</f>
        <v>0</v>
      </c>
      <c r="V347" s="50">
        <f t="shared" si="184"/>
        <v>0</v>
      </c>
      <c r="W347" s="49">
        <f>SUM(W346)</f>
        <v>0</v>
      </c>
      <c r="X347" s="50">
        <f t="shared" si="185"/>
        <v>0</v>
      </c>
      <c r="Y347" s="49">
        <f>SUM(Y346)</f>
        <v>0</v>
      </c>
      <c r="Z347" s="49">
        <f>SUM(Z346)</f>
        <v>0</v>
      </c>
    </row>
    <row r="348" spans="1:26" ht="13.9" customHeight="1" x14ac:dyDescent="0.25">
      <c r="A348" s="15">
        <v>5</v>
      </c>
      <c r="B348" s="15">
        <v>2</v>
      </c>
      <c r="C348" s="15">
        <v>3</v>
      </c>
      <c r="D348" s="30"/>
      <c r="E348" s="31"/>
      <c r="F348" s="27" t="s">
        <v>126</v>
      </c>
      <c r="G348" s="28">
        <f t="shared" ref="G348:Q348" si="189">G341+G345+G347</f>
        <v>14760.630000000001</v>
      </c>
      <c r="H348" s="28">
        <f t="shared" si="189"/>
        <v>3294.02</v>
      </c>
      <c r="I348" s="28">
        <f t="shared" si="189"/>
        <v>6114</v>
      </c>
      <c r="J348" s="28">
        <f t="shared" si="189"/>
        <v>5800</v>
      </c>
      <c r="K348" s="28">
        <f t="shared" si="189"/>
        <v>14558</v>
      </c>
      <c r="L348" s="28">
        <f t="shared" si="189"/>
        <v>0</v>
      </c>
      <c r="M348" s="28">
        <f t="shared" si="189"/>
        <v>0</v>
      </c>
      <c r="N348" s="28">
        <f t="shared" si="189"/>
        <v>0</v>
      </c>
      <c r="O348" s="28">
        <f t="shared" si="189"/>
        <v>0</v>
      </c>
      <c r="P348" s="28">
        <f t="shared" si="189"/>
        <v>14558</v>
      </c>
      <c r="Q348" s="28">
        <f t="shared" si="189"/>
        <v>1630.04</v>
      </c>
      <c r="R348" s="29">
        <f t="shared" si="182"/>
        <v>0.11196867701607363</v>
      </c>
      <c r="S348" s="28">
        <f>S341+S345+S347</f>
        <v>0</v>
      </c>
      <c r="T348" s="29">
        <f t="shared" si="183"/>
        <v>0</v>
      </c>
      <c r="U348" s="28">
        <f>U341+U345+U347</f>
        <v>0</v>
      </c>
      <c r="V348" s="29">
        <f t="shared" si="184"/>
        <v>0</v>
      </c>
      <c r="W348" s="28">
        <f>W341+W345+W347</f>
        <v>0</v>
      </c>
      <c r="X348" s="29">
        <f t="shared" si="185"/>
        <v>0</v>
      </c>
      <c r="Y348" s="28">
        <f>Y341+Y345+Y347</f>
        <v>14126</v>
      </c>
      <c r="Z348" s="28">
        <f>Z341+Z345+Z347</f>
        <v>14827</v>
      </c>
    </row>
    <row r="350" spans="1:26" ht="13.9" customHeight="1" x14ac:dyDescent="0.25">
      <c r="D350" s="32" t="s">
        <v>228</v>
      </c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3"/>
      <c r="S350" s="32"/>
      <c r="T350" s="33"/>
      <c r="U350" s="32"/>
      <c r="V350" s="33"/>
      <c r="W350" s="32"/>
      <c r="X350" s="33"/>
      <c r="Y350" s="32"/>
      <c r="Z350" s="32"/>
    </row>
    <row r="351" spans="1:26" ht="13.9" customHeight="1" x14ac:dyDescent="0.25">
      <c r="D351" s="20"/>
      <c r="E351" s="20"/>
      <c r="F351" s="20"/>
      <c r="G351" s="21" t="s">
        <v>1</v>
      </c>
      <c r="H351" s="21" t="s">
        <v>2</v>
      </c>
      <c r="I351" s="21" t="s">
        <v>3</v>
      </c>
      <c r="J351" s="21" t="s">
        <v>4</v>
      </c>
      <c r="K351" s="21" t="s">
        <v>5</v>
      </c>
      <c r="L351" s="21" t="s">
        <v>6</v>
      </c>
      <c r="M351" s="21" t="s">
        <v>7</v>
      </c>
      <c r="N351" s="21" t="s">
        <v>8</v>
      </c>
      <c r="O351" s="21" t="s">
        <v>9</v>
      </c>
      <c r="P351" s="21" t="s">
        <v>123</v>
      </c>
      <c r="Q351" s="21" t="s">
        <v>11</v>
      </c>
      <c r="R351" s="22" t="s">
        <v>12</v>
      </c>
      <c r="S351" s="21" t="s">
        <v>13</v>
      </c>
      <c r="T351" s="22" t="s">
        <v>14</v>
      </c>
      <c r="U351" s="21" t="s">
        <v>15</v>
      </c>
      <c r="V351" s="22" t="s">
        <v>16</v>
      </c>
      <c r="W351" s="21" t="s">
        <v>17</v>
      </c>
      <c r="X351" s="22" t="s">
        <v>18</v>
      </c>
      <c r="Y351" s="21" t="s">
        <v>19</v>
      </c>
      <c r="Z351" s="21" t="s">
        <v>20</v>
      </c>
    </row>
    <row r="352" spans="1:26" ht="13.9" hidden="1" customHeight="1" x14ac:dyDescent="0.25">
      <c r="A352" s="15">
        <v>6</v>
      </c>
      <c r="D352" s="12" t="s">
        <v>21</v>
      </c>
      <c r="E352" s="35">
        <v>111</v>
      </c>
      <c r="F352" s="35" t="s">
        <v>136</v>
      </c>
      <c r="G352" s="36">
        <f t="shared" ref="G352:Q352" si="190">G358+G387+G423</f>
        <v>0</v>
      </c>
      <c r="H352" s="36">
        <f t="shared" si="190"/>
        <v>1030.4100000000001</v>
      </c>
      <c r="I352" s="36">
        <f t="shared" si="190"/>
        <v>0</v>
      </c>
      <c r="J352" s="36">
        <f t="shared" si="190"/>
        <v>0</v>
      </c>
      <c r="K352" s="36">
        <f t="shared" si="190"/>
        <v>0</v>
      </c>
      <c r="L352" s="36">
        <f t="shared" si="190"/>
        <v>0</v>
      </c>
      <c r="M352" s="36">
        <f t="shared" si="190"/>
        <v>0</v>
      </c>
      <c r="N352" s="36">
        <f t="shared" si="190"/>
        <v>0</v>
      </c>
      <c r="O352" s="36">
        <f t="shared" si="190"/>
        <v>0</v>
      </c>
      <c r="P352" s="36">
        <f t="shared" si="190"/>
        <v>0</v>
      </c>
      <c r="Q352" s="36">
        <f t="shared" si="190"/>
        <v>0</v>
      </c>
      <c r="R352" s="37">
        <f>IFERROR(Q352/$P352,0)</f>
        <v>0</v>
      </c>
      <c r="S352" s="36">
        <f>S358+S387+S423</f>
        <v>0</v>
      </c>
      <c r="T352" s="37">
        <f>IFERROR(S352/$P352,0)</f>
        <v>0</v>
      </c>
      <c r="U352" s="36">
        <f>U358+U387+U423</f>
        <v>0</v>
      </c>
      <c r="V352" s="37">
        <f>IFERROR(U352/$P352,0)</f>
        <v>0</v>
      </c>
      <c r="W352" s="36">
        <f>W358+W387+W423</f>
        <v>0</v>
      </c>
      <c r="X352" s="37">
        <f>IFERROR(W352/$P352,0)</f>
        <v>0</v>
      </c>
      <c r="Y352" s="36">
        <f>Y358+Y387+Y423</f>
        <v>0</v>
      </c>
      <c r="Z352" s="36">
        <f>Z358+Z387+Z423</f>
        <v>0</v>
      </c>
    </row>
    <row r="353" spans="1:26" ht="13.9" customHeight="1" x14ac:dyDescent="0.25">
      <c r="A353" s="15">
        <v>6</v>
      </c>
      <c r="D353" s="12" t="s">
        <v>21</v>
      </c>
      <c r="E353" s="35">
        <v>41</v>
      </c>
      <c r="F353" s="35" t="s">
        <v>23</v>
      </c>
      <c r="G353" s="36">
        <f>G359+G388+G425</f>
        <v>39882.36</v>
      </c>
      <c r="H353" s="36">
        <f t="shared" ref="H353:Q353" si="191">H359+H388+H424</f>
        <v>46795.770000000004</v>
      </c>
      <c r="I353" s="36">
        <f t="shared" si="191"/>
        <v>47091</v>
      </c>
      <c r="J353" s="36">
        <f t="shared" si="191"/>
        <v>51521</v>
      </c>
      <c r="K353" s="36">
        <f t="shared" si="191"/>
        <v>49735</v>
      </c>
      <c r="L353" s="36">
        <f t="shared" si="191"/>
        <v>700</v>
      </c>
      <c r="M353" s="36">
        <f t="shared" si="191"/>
        <v>0</v>
      </c>
      <c r="N353" s="36">
        <f t="shared" si="191"/>
        <v>0</v>
      </c>
      <c r="O353" s="36">
        <f t="shared" si="191"/>
        <v>0</v>
      </c>
      <c r="P353" s="36">
        <f t="shared" si="191"/>
        <v>50435</v>
      </c>
      <c r="Q353" s="36">
        <f t="shared" si="191"/>
        <v>13958.31</v>
      </c>
      <c r="R353" s="37">
        <f>IFERROR(Q353/$P353,0)</f>
        <v>0.27675840190344009</v>
      </c>
      <c r="S353" s="36">
        <f>S359+S388+S424</f>
        <v>0</v>
      </c>
      <c r="T353" s="37">
        <f>IFERROR(S353/$P353,0)</f>
        <v>0</v>
      </c>
      <c r="U353" s="36">
        <f>U359+U388+U424</f>
        <v>0</v>
      </c>
      <c r="V353" s="37">
        <f>IFERROR(U353/$P353,0)</f>
        <v>0</v>
      </c>
      <c r="W353" s="36">
        <f>W359+W388+W424</f>
        <v>0</v>
      </c>
      <c r="X353" s="37">
        <f>IFERROR(W353/$P353,0)</f>
        <v>0</v>
      </c>
      <c r="Y353" s="36">
        <f>Y359+Y388+Y424</f>
        <v>47435</v>
      </c>
      <c r="Z353" s="36">
        <f>Z359+Z388+Z424</f>
        <v>47435</v>
      </c>
    </row>
    <row r="354" spans="1:26" ht="13.9" customHeight="1" x14ac:dyDescent="0.25">
      <c r="A354" s="15">
        <v>6</v>
      </c>
      <c r="D354" s="30"/>
      <c r="E354" s="31"/>
      <c r="F354" s="38" t="s">
        <v>126</v>
      </c>
      <c r="G354" s="39">
        <f t="shared" ref="G354:Q354" si="192">SUM(G352:G353)</f>
        <v>39882.36</v>
      </c>
      <c r="H354" s="39">
        <f t="shared" si="192"/>
        <v>47826.180000000008</v>
      </c>
      <c r="I354" s="39">
        <f t="shared" si="192"/>
        <v>47091</v>
      </c>
      <c r="J354" s="39">
        <f t="shared" si="192"/>
        <v>51521</v>
      </c>
      <c r="K354" s="39">
        <f t="shared" si="192"/>
        <v>49735</v>
      </c>
      <c r="L354" s="39">
        <f t="shared" si="192"/>
        <v>700</v>
      </c>
      <c r="M354" s="39">
        <f t="shared" si="192"/>
        <v>0</v>
      </c>
      <c r="N354" s="39">
        <f t="shared" si="192"/>
        <v>0</v>
      </c>
      <c r="O354" s="39">
        <f t="shared" si="192"/>
        <v>0</v>
      </c>
      <c r="P354" s="39">
        <f t="shared" si="192"/>
        <v>50435</v>
      </c>
      <c r="Q354" s="39">
        <f t="shared" si="192"/>
        <v>13958.31</v>
      </c>
      <c r="R354" s="40">
        <f>IFERROR(Q354/$P354,0)</f>
        <v>0.27675840190344009</v>
      </c>
      <c r="S354" s="39">
        <f>SUM(S352:S353)</f>
        <v>0</v>
      </c>
      <c r="T354" s="40">
        <f>IFERROR(S354/$P354,0)</f>
        <v>0</v>
      </c>
      <c r="U354" s="39">
        <f>SUM(U352:U353)</f>
        <v>0</v>
      </c>
      <c r="V354" s="40">
        <f>IFERROR(U354/$P354,0)</f>
        <v>0</v>
      </c>
      <c r="W354" s="39">
        <f>SUM(W352:W353)</f>
        <v>0</v>
      </c>
      <c r="X354" s="40">
        <f>IFERROR(W354/$P354,0)</f>
        <v>0</v>
      </c>
      <c r="Y354" s="39">
        <f>SUM(Y352:Y353)</f>
        <v>47435</v>
      </c>
      <c r="Z354" s="39">
        <f>SUM(Z352:Z353)</f>
        <v>47435</v>
      </c>
    </row>
    <row r="356" spans="1:26" ht="13.9" customHeight="1" x14ac:dyDescent="0.25">
      <c r="D356" s="41" t="s">
        <v>229</v>
      </c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2"/>
      <c r="S356" s="41"/>
      <c r="T356" s="42"/>
      <c r="U356" s="41"/>
      <c r="V356" s="42"/>
      <c r="W356" s="41"/>
      <c r="X356" s="42"/>
      <c r="Y356" s="41"/>
      <c r="Z356" s="41"/>
    </row>
    <row r="357" spans="1:26" ht="13.9" customHeight="1" x14ac:dyDescent="0.25">
      <c r="D357" s="128"/>
      <c r="E357" s="128"/>
      <c r="F357" s="128"/>
      <c r="G357" s="21" t="s">
        <v>1</v>
      </c>
      <c r="H357" s="21" t="s">
        <v>2</v>
      </c>
      <c r="I357" s="21" t="s">
        <v>3</v>
      </c>
      <c r="J357" s="21" t="s">
        <v>4</v>
      </c>
      <c r="K357" s="21" t="s">
        <v>5</v>
      </c>
      <c r="L357" s="21" t="s">
        <v>6</v>
      </c>
      <c r="M357" s="21" t="s">
        <v>7</v>
      </c>
      <c r="N357" s="21" t="s">
        <v>8</v>
      </c>
      <c r="O357" s="21" t="s">
        <v>9</v>
      </c>
      <c r="P357" s="21" t="s">
        <v>123</v>
      </c>
      <c r="Q357" s="21" t="s">
        <v>11</v>
      </c>
      <c r="R357" s="22" t="s">
        <v>12</v>
      </c>
      <c r="S357" s="21" t="s">
        <v>13</v>
      </c>
      <c r="T357" s="22" t="s">
        <v>14</v>
      </c>
      <c r="U357" s="21" t="s">
        <v>15</v>
      </c>
      <c r="V357" s="22" t="s">
        <v>16</v>
      </c>
      <c r="W357" s="21" t="s">
        <v>17</v>
      </c>
      <c r="X357" s="22" t="s">
        <v>18</v>
      </c>
      <c r="Y357" s="21" t="s">
        <v>19</v>
      </c>
      <c r="Z357" s="21" t="s">
        <v>20</v>
      </c>
    </row>
    <row r="358" spans="1:26" ht="13.9" hidden="1" customHeight="1" x14ac:dyDescent="0.25">
      <c r="A358" s="15">
        <v>6</v>
      </c>
      <c r="B358" s="15">
        <v>1</v>
      </c>
      <c r="D358" s="13" t="s">
        <v>21</v>
      </c>
      <c r="E358" s="24">
        <v>111</v>
      </c>
      <c r="F358" s="24" t="s">
        <v>136</v>
      </c>
      <c r="G358" s="25">
        <f t="shared" ref="G358:Q358" si="193">G365</f>
        <v>0</v>
      </c>
      <c r="H358" s="25">
        <f t="shared" si="193"/>
        <v>488.97</v>
      </c>
      <c r="I358" s="25">
        <f t="shared" si="193"/>
        <v>0</v>
      </c>
      <c r="J358" s="25">
        <f t="shared" si="193"/>
        <v>0</v>
      </c>
      <c r="K358" s="25">
        <f t="shared" si="193"/>
        <v>0</v>
      </c>
      <c r="L358" s="25">
        <f t="shared" si="193"/>
        <v>0</v>
      </c>
      <c r="M358" s="25">
        <f t="shared" si="193"/>
        <v>0</v>
      </c>
      <c r="N358" s="25">
        <f t="shared" si="193"/>
        <v>0</v>
      </c>
      <c r="O358" s="25">
        <f t="shared" si="193"/>
        <v>0</v>
      </c>
      <c r="P358" s="25">
        <f t="shared" si="193"/>
        <v>0</v>
      </c>
      <c r="Q358" s="25">
        <f t="shared" si="193"/>
        <v>0</v>
      </c>
      <c r="R358" s="26">
        <f>IFERROR(Q358/$P358,0)</f>
        <v>0</v>
      </c>
      <c r="S358" s="25">
        <f>S365</f>
        <v>0</v>
      </c>
      <c r="T358" s="26">
        <f>IFERROR(S358/$P358,0)</f>
        <v>0</v>
      </c>
      <c r="U358" s="25">
        <f>U365</f>
        <v>0</v>
      </c>
      <c r="V358" s="26">
        <f>IFERROR(U358/$P358,0)</f>
        <v>0</v>
      </c>
      <c r="W358" s="25">
        <f>W365</f>
        <v>0</v>
      </c>
      <c r="X358" s="26">
        <f>IFERROR(W358/$P358,0)</f>
        <v>0</v>
      </c>
      <c r="Y358" s="25">
        <f>Y365</f>
        <v>0</v>
      </c>
      <c r="Z358" s="25">
        <f>Z365</f>
        <v>0</v>
      </c>
    </row>
    <row r="359" spans="1:26" ht="13.9" customHeight="1" x14ac:dyDescent="0.25">
      <c r="A359" s="15">
        <v>6</v>
      </c>
      <c r="B359" s="15">
        <v>1</v>
      </c>
      <c r="D359" s="13" t="s">
        <v>21</v>
      </c>
      <c r="E359" s="24">
        <v>41</v>
      </c>
      <c r="F359" s="24" t="s">
        <v>23</v>
      </c>
      <c r="G359" s="25">
        <f t="shared" ref="G359:Q359" si="194">G369+G378</f>
        <v>15331.27</v>
      </c>
      <c r="H359" s="25">
        <f t="shared" si="194"/>
        <v>22242.639999999999</v>
      </c>
      <c r="I359" s="25">
        <f t="shared" si="194"/>
        <v>20736</v>
      </c>
      <c r="J359" s="25">
        <f t="shared" si="194"/>
        <v>23534</v>
      </c>
      <c r="K359" s="25">
        <f t="shared" si="194"/>
        <v>25007</v>
      </c>
      <c r="L359" s="25">
        <f t="shared" si="194"/>
        <v>300</v>
      </c>
      <c r="M359" s="25">
        <f t="shared" si="194"/>
        <v>0</v>
      </c>
      <c r="N359" s="25">
        <f t="shared" si="194"/>
        <v>0</v>
      </c>
      <c r="O359" s="25">
        <f t="shared" si="194"/>
        <v>0</v>
      </c>
      <c r="P359" s="25">
        <f t="shared" si="194"/>
        <v>25307</v>
      </c>
      <c r="Q359" s="25">
        <f t="shared" si="194"/>
        <v>8934.6299999999992</v>
      </c>
      <c r="R359" s="26">
        <f>IFERROR(Q359/$P359,0)</f>
        <v>0.35304974908128184</v>
      </c>
      <c r="S359" s="25">
        <f>S369+S378</f>
        <v>0</v>
      </c>
      <c r="T359" s="26">
        <f>IFERROR(S359/$P359,0)</f>
        <v>0</v>
      </c>
      <c r="U359" s="25">
        <f>U369+U378</f>
        <v>0</v>
      </c>
      <c r="V359" s="26">
        <f>IFERROR(U359/$P359,0)</f>
        <v>0</v>
      </c>
      <c r="W359" s="25">
        <f>W369+W378</f>
        <v>0</v>
      </c>
      <c r="X359" s="26">
        <f>IFERROR(W359/$P359,0)</f>
        <v>0</v>
      </c>
      <c r="Y359" s="25">
        <f>Y369+Y378</f>
        <v>22407</v>
      </c>
      <c r="Z359" s="25">
        <f>Z369+Z378</f>
        <v>22407</v>
      </c>
    </row>
    <row r="360" spans="1:26" ht="13.9" customHeight="1" x14ac:dyDescent="0.25">
      <c r="A360" s="15">
        <v>6</v>
      </c>
      <c r="B360" s="15">
        <v>1</v>
      </c>
      <c r="D360" s="30"/>
      <c r="E360" s="31"/>
      <c r="F360" s="27" t="s">
        <v>126</v>
      </c>
      <c r="G360" s="28">
        <f t="shared" ref="G360:Q360" si="195">SUM(G358:G359)</f>
        <v>15331.27</v>
      </c>
      <c r="H360" s="28">
        <f t="shared" si="195"/>
        <v>22731.61</v>
      </c>
      <c r="I360" s="28">
        <f t="shared" si="195"/>
        <v>20736</v>
      </c>
      <c r="J360" s="28">
        <f t="shared" si="195"/>
        <v>23534</v>
      </c>
      <c r="K360" s="28">
        <f t="shared" si="195"/>
        <v>25007</v>
      </c>
      <c r="L360" s="28">
        <f t="shared" si="195"/>
        <v>300</v>
      </c>
      <c r="M360" s="28">
        <f t="shared" si="195"/>
        <v>0</v>
      </c>
      <c r="N360" s="28">
        <f t="shared" si="195"/>
        <v>0</v>
      </c>
      <c r="O360" s="28">
        <f t="shared" si="195"/>
        <v>0</v>
      </c>
      <c r="P360" s="28">
        <f t="shared" si="195"/>
        <v>25307</v>
      </c>
      <c r="Q360" s="28">
        <f t="shared" si="195"/>
        <v>8934.6299999999992</v>
      </c>
      <c r="R360" s="29">
        <f>IFERROR(Q360/$P360,0)</f>
        <v>0.35304974908128184</v>
      </c>
      <c r="S360" s="28">
        <f>SUM(S358:S359)</f>
        <v>0</v>
      </c>
      <c r="T360" s="29">
        <f>IFERROR(S360/$P360,0)</f>
        <v>0</v>
      </c>
      <c r="U360" s="28">
        <f>SUM(U358:U359)</f>
        <v>0</v>
      </c>
      <c r="V360" s="29">
        <f>IFERROR(U360/$P360,0)</f>
        <v>0</v>
      </c>
      <c r="W360" s="28">
        <f>SUM(W358:W359)</f>
        <v>0</v>
      </c>
      <c r="X360" s="29">
        <f>IFERROR(W360/$P360,0)</f>
        <v>0</v>
      </c>
      <c r="Y360" s="28">
        <f>SUM(Y358:Y359)</f>
        <v>22407</v>
      </c>
      <c r="Z360" s="28">
        <f>SUM(Z358:Z359)</f>
        <v>22407</v>
      </c>
    </row>
    <row r="362" spans="1:26" ht="13.9" customHeight="1" x14ac:dyDescent="0.25">
      <c r="D362" s="73" t="s">
        <v>230</v>
      </c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4"/>
      <c r="S362" s="73"/>
      <c r="T362" s="74"/>
      <c r="U362" s="73"/>
      <c r="V362" s="74"/>
      <c r="W362" s="73"/>
      <c r="X362" s="74"/>
      <c r="Y362" s="73"/>
      <c r="Z362" s="73"/>
    </row>
    <row r="363" spans="1:26" ht="13.9" customHeight="1" x14ac:dyDescent="0.25">
      <c r="D363" s="21" t="s">
        <v>32</v>
      </c>
      <c r="E363" s="21" t="s">
        <v>33</v>
      </c>
      <c r="F363" s="21" t="s">
        <v>34</v>
      </c>
      <c r="G363" s="21" t="s">
        <v>1</v>
      </c>
      <c r="H363" s="21" t="s">
        <v>2</v>
      </c>
      <c r="I363" s="21" t="s">
        <v>3</v>
      </c>
      <c r="J363" s="21" t="s">
        <v>4</v>
      </c>
      <c r="K363" s="21" t="s">
        <v>5</v>
      </c>
      <c r="L363" s="21" t="s">
        <v>6</v>
      </c>
      <c r="M363" s="21" t="s">
        <v>7</v>
      </c>
      <c r="N363" s="21" t="s">
        <v>8</v>
      </c>
      <c r="O363" s="21" t="s">
        <v>9</v>
      </c>
      <c r="P363" s="21" t="s">
        <v>123</v>
      </c>
      <c r="Q363" s="21" t="s">
        <v>11</v>
      </c>
      <c r="R363" s="22" t="s">
        <v>12</v>
      </c>
      <c r="S363" s="21" t="s">
        <v>13</v>
      </c>
      <c r="T363" s="22" t="s">
        <v>14</v>
      </c>
      <c r="U363" s="21" t="s">
        <v>15</v>
      </c>
      <c r="V363" s="22" t="s">
        <v>16</v>
      </c>
      <c r="W363" s="21" t="s">
        <v>17</v>
      </c>
      <c r="X363" s="22" t="s">
        <v>18</v>
      </c>
      <c r="Y363" s="21" t="s">
        <v>19</v>
      </c>
      <c r="Z363" s="21" t="s">
        <v>20</v>
      </c>
    </row>
    <row r="364" spans="1:26" ht="13.9" hidden="1" customHeight="1" x14ac:dyDescent="0.25">
      <c r="A364" s="15">
        <v>6</v>
      </c>
      <c r="B364" s="15">
        <v>1</v>
      </c>
      <c r="C364" s="15">
        <v>1</v>
      </c>
      <c r="D364" s="84" t="s">
        <v>231</v>
      </c>
      <c r="E364" s="24">
        <v>630</v>
      </c>
      <c r="F364" s="24" t="s">
        <v>133</v>
      </c>
      <c r="G364" s="25">
        <v>0</v>
      </c>
      <c r="H364" s="25">
        <v>488.97</v>
      </c>
      <c r="I364" s="25">
        <v>0</v>
      </c>
      <c r="J364" s="25">
        <v>0</v>
      </c>
      <c r="K364" s="25">
        <v>0</v>
      </c>
      <c r="L364" s="25"/>
      <c r="M364" s="25"/>
      <c r="N364" s="25"/>
      <c r="O364" s="25"/>
      <c r="P364" s="25">
        <f>K364+SUM(L364:O364)</f>
        <v>0</v>
      </c>
      <c r="Q364" s="25"/>
      <c r="R364" s="26">
        <f t="shared" ref="R364:R370" si="196">IFERROR(Q364/$P364,0)</f>
        <v>0</v>
      </c>
      <c r="S364" s="25"/>
      <c r="T364" s="26">
        <f t="shared" ref="T364:T370" si="197">IFERROR(S364/$P364,0)</f>
        <v>0</v>
      </c>
      <c r="U364" s="25"/>
      <c r="V364" s="26">
        <f t="shared" ref="V364:V370" si="198">IFERROR(U364/$P364,0)</f>
        <v>0</v>
      </c>
      <c r="W364" s="25"/>
      <c r="X364" s="26">
        <f t="shared" ref="X364:X370" si="199">IFERROR(W364/$P364,0)</f>
        <v>0</v>
      </c>
      <c r="Y364" s="25">
        <v>0</v>
      </c>
      <c r="Z364" s="25">
        <f>Y364</f>
        <v>0</v>
      </c>
    </row>
    <row r="365" spans="1:26" ht="13.9" hidden="1" customHeight="1" x14ac:dyDescent="0.25">
      <c r="A365" s="15">
        <v>6</v>
      </c>
      <c r="B365" s="15">
        <v>1</v>
      </c>
      <c r="C365" s="15">
        <v>1</v>
      </c>
      <c r="D365" s="79" t="s">
        <v>21</v>
      </c>
      <c r="E365" s="85">
        <v>111</v>
      </c>
      <c r="F365" s="48" t="s">
        <v>136</v>
      </c>
      <c r="G365" s="49">
        <f t="shared" ref="G365:Q365" si="200">SUM(G364)</f>
        <v>0</v>
      </c>
      <c r="H365" s="49">
        <f t="shared" si="200"/>
        <v>488.97</v>
      </c>
      <c r="I365" s="49">
        <f t="shared" si="200"/>
        <v>0</v>
      </c>
      <c r="J365" s="49">
        <f t="shared" si="200"/>
        <v>0</v>
      </c>
      <c r="K365" s="49">
        <f t="shared" si="200"/>
        <v>0</v>
      </c>
      <c r="L365" s="49">
        <f t="shared" si="200"/>
        <v>0</v>
      </c>
      <c r="M365" s="49">
        <f t="shared" si="200"/>
        <v>0</v>
      </c>
      <c r="N365" s="49">
        <f t="shared" si="200"/>
        <v>0</v>
      </c>
      <c r="O365" s="49">
        <f t="shared" si="200"/>
        <v>0</v>
      </c>
      <c r="P365" s="49">
        <f t="shared" si="200"/>
        <v>0</v>
      </c>
      <c r="Q365" s="49">
        <f t="shared" si="200"/>
        <v>0</v>
      </c>
      <c r="R365" s="50">
        <f t="shared" si="196"/>
        <v>0</v>
      </c>
      <c r="S365" s="49">
        <f>SUM(S364)</f>
        <v>0</v>
      </c>
      <c r="T365" s="50">
        <f t="shared" si="197"/>
        <v>0</v>
      </c>
      <c r="U365" s="49">
        <f>SUM(U364)</f>
        <v>0</v>
      </c>
      <c r="V365" s="50">
        <f t="shared" si="198"/>
        <v>0</v>
      </c>
      <c r="W365" s="49">
        <f>SUM(W364)</f>
        <v>0</v>
      </c>
      <c r="X365" s="50">
        <f t="shared" si="199"/>
        <v>0</v>
      </c>
      <c r="Y365" s="49">
        <f>SUM(Y364)</f>
        <v>0</v>
      </c>
      <c r="Z365" s="49">
        <f>SUM(Z364)</f>
        <v>0</v>
      </c>
    </row>
    <row r="366" spans="1:26" ht="13.9" customHeight="1" x14ac:dyDescent="0.25">
      <c r="A366" s="15">
        <v>6</v>
      </c>
      <c r="B366" s="15">
        <v>1</v>
      </c>
      <c r="C366" s="15">
        <v>1</v>
      </c>
      <c r="D366" s="11" t="s">
        <v>231</v>
      </c>
      <c r="E366" s="24">
        <v>620</v>
      </c>
      <c r="F366" s="24" t="s">
        <v>132</v>
      </c>
      <c r="G366" s="25">
        <v>108.24</v>
      </c>
      <c r="H366" s="25">
        <v>250.5</v>
      </c>
      <c r="I366" s="25">
        <v>393</v>
      </c>
      <c r="J366" s="25">
        <v>725</v>
      </c>
      <c r="K366" s="25">
        <v>1651</v>
      </c>
      <c r="L366" s="25"/>
      <c r="M366" s="25"/>
      <c r="N366" s="25"/>
      <c r="O366" s="25"/>
      <c r="P366" s="25">
        <f>K366+SUM(L366:O366)</f>
        <v>1651</v>
      </c>
      <c r="Q366" s="25">
        <v>384.27</v>
      </c>
      <c r="R366" s="26">
        <f t="shared" si="196"/>
        <v>0.23274984857662023</v>
      </c>
      <c r="S366" s="25"/>
      <c r="T366" s="26">
        <f t="shared" si="197"/>
        <v>0</v>
      </c>
      <c r="U366" s="25"/>
      <c r="V366" s="26">
        <f t="shared" si="198"/>
        <v>0</v>
      </c>
      <c r="W366" s="25"/>
      <c r="X366" s="26">
        <f t="shared" si="199"/>
        <v>0</v>
      </c>
      <c r="Y366" s="25">
        <f>K366</f>
        <v>1651</v>
      </c>
      <c r="Z366" s="25">
        <f>Y366</f>
        <v>1651</v>
      </c>
    </row>
    <row r="367" spans="1:26" ht="13.9" customHeight="1" x14ac:dyDescent="0.25">
      <c r="A367" s="15">
        <v>6</v>
      </c>
      <c r="B367" s="15">
        <v>1</v>
      </c>
      <c r="C367" s="15">
        <v>1</v>
      </c>
      <c r="D367" s="11" t="s">
        <v>231</v>
      </c>
      <c r="E367" s="24">
        <v>630</v>
      </c>
      <c r="F367" s="24" t="s">
        <v>133</v>
      </c>
      <c r="G367" s="25">
        <v>4723.03</v>
      </c>
      <c r="H367" s="25">
        <v>9692.14</v>
      </c>
      <c r="I367" s="25">
        <v>9043</v>
      </c>
      <c r="J367" s="25">
        <v>10509</v>
      </c>
      <c r="K367" s="25">
        <v>10856</v>
      </c>
      <c r="L367" s="25"/>
      <c r="M367" s="25"/>
      <c r="N367" s="25"/>
      <c r="O367" s="25"/>
      <c r="P367" s="25">
        <f>K367+SUM(L367:O367)</f>
        <v>10856</v>
      </c>
      <c r="Q367" s="25">
        <v>1350.36</v>
      </c>
      <c r="R367" s="26">
        <f t="shared" si="196"/>
        <v>0.12438835666912305</v>
      </c>
      <c r="S367" s="25"/>
      <c r="T367" s="26">
        <f t="shared" si="197"/>
        <v>0</v>
      </c>
      <c r="U367" s="25"/>
      <c r="V367" s="26">
        <f t="shared" si="198"/>
        <v>0</v>
      </c>
      <c r="W367" s="25"/>
      <c r="X367" s="26">
        <f t="shared" si="199"/>
        <v>0</v>
      </c>
      <c r="Y367" s="25">
        <f>K367</f>
        <v>10856</v>
      </c>
      <c r="Z367" s="25">
        <f>Y367</f>
        <v>10856</v>
      </c>
    </row>
    <row r="368" spans="1:26" ht="13.9" customHeight="1" x14ac:dyDescent="0.25">
      <c r="A368" s="15">
        <v>6</v>
      </c>
      <c r="B368" s="15">
        <v>1</v>
      </c>
      <c r="C368" s="15">
        <v>1</v>
      </c>
      <c r="D368" s="11" t="s">
        <v>231</v>
      </c>
      <c r="E368" s="24">
        <v>640</v>
      </c>
      <c r="F368" s="24" t="s">
        <v>134</v>
      </c>
      <c r="G368" s="25">
        <v>5000</v>
      </c>
      <c r="H368" s="25">
        <v>6000</v>
      </c>
      <c r="I368" s="25">
        <v>5000</v>
      </c>
      <c r="J368" s="25">
        <v>6000</v>
      </c>
      <c r="K368" s="46">
        <v>6600</v>
      </c>
      <c r="L368" s="25"/>
      <c r="M368" s="25"/>
      <c r="N368" s="25"/>
      <c r="O368" s="25"/>
      <c r="P368" s="25">
        <f>K368+SUM(L368:O368)</f>
        <v>6600</v>
      </c>
      <c r="Q368" s="25">
        <v>6600</v>
      </c>
      <c r="R368" s="26">
        <f t="shared" si="196"/>
        <v>1</v>
      </c>
      <c r="S368" s="25"/>
      <c r="T368" s="26">
        <f t="shared" si="197"/>
        <v>0</v>
      </c>
      <c r="U368" s="25"/>
      <c r="V368" s="26">
        <f t="shared" si="198"/>
        <v>0</v>
      </c>
      <c r="W368" s="25"/>
      <c r="X368" s="26">
        <f t="shared" si="199"/>
        <v>0</v>
      </c>
      <c r="Y368" s="25">
        <f>K368</f>
        <v>6600</v>
      </c>
      <c r="Z368" s="25">
        <f>Y368</f>
        <v>6600</v>
      </c>
    </row>
    <row r="369" spans="1:26" ht="13.9" customHeight="1" x14ac:dyDescent="0.25">
      <c r="A369" s="15">
        <v>6</v>
      </c>
      <c r="B369" s="15">
        <v>1</v>
      </c>
      <c r="C369" s="15">
        <v>1</v>
      </c>
      <c r="D369" s="79" t="s">
        <v>21</v>
      </c>
      <c r="E369" s="48">
        <v>41</v>
      </c>
      <c r="F369" s="48" t="s">
        <v>23</v>
      </c>
      <c r="G369" s="49">
        <f t="shared" ref="G369:Q369" si="201">SUM(G366:G368)</f>
        <v>9831.27</v>
      </c>
      <c r="H369" s="49">
        <f t="shared" si="201"/>
        <v>15942.64</v>
      </c>
      <c r="I369" s="49">
        <f t="shared" si="201"/>
        <v>14436</v>
      </c>
      <c r="J369" s="49">
        <f t="shared" si="201"/>
        <v>17234</v>
      </c>
      <c r="K369" s="49">
        <f t="shared" si="201"/>
        <v>19107</v>
      </c>
      <c r="L369" s="49">
        <f t="shared" si="201"/>
        <v>0</v>
      </c>
      <c r="M369" s="49">
        <f t="shared" si="201"/>
        <v>0</v>
      </c>
      <c r="N369" s="49">
        <f t="shared" si="201"/>
        <v>0</v>
      </c>
      <c r="O369" s="49">
        <f t="shared" si="201"/>
        <v>0</v>
      </c>
      <c r="P369" s="49">
        <f t="shared" si="201"/>
        <v>19107</v>
      </c>
      <c r="Q369" s="49">
        <f t="shared" si="201"/>
        <v>8334.6299999999992</v>
      </c>
      <c r="R369" s="50">
        <f t="shared" si="196"/>
        <v>0.43620819594912857</v>
      </c>
      <c r="S369" s="49">
        <f>SUM(S366:S368)</f>
        <v>0</v>
      </c>
      <c r="T369" s="50">
        <f t="shared" si="197"/>
        <v>0</v>
      </c>
      <c r="U369" s="49">
        <f>SUM(U366:U368)</f>
        <v>0</v>
      </c>
      <c r="V369" s="50">
        <f t="shared" si="198"/>
        <v>0</v>
      </c>
      <c r="W369" s="49">
        <f>SUM(W366:W368)</f>
        <v>0</v>
      </c>
      <c r="X369" s="50">
        <f t="shared" si="199"/>
        <v>0</v>
      </c>
      <c r="Y369" s="49">
        <f>SUM(Y366:Y368)</f>
        <v>19107</v>
      </c>
      <c r="Z369" s="49">
        <f>SUM(Z366:Z368)</f>
        <v>19107</v>
      </c>
    </row>
    <row r="370" spans="1:26" ht="13.9" customHeight="1" x14ac:dyDescent="0.25">
      <c r="A370" s="15">
        <v>6</v>
      </c>
      <c r="B370" s="15">
        <v>1</v>
      </c>
      <c r="C370" s="15">
        <v>1</v>
      </c>
      <c r="D370" s="86"/>
      <c r="E370" s="87"/>
      <c r="F370" s="27" t="s">
        <v>126</v>
      </c>
      <c r="G370" s="28">
        <f t="shared" ref="G370:Q370" si="202">G365+G369</f>
        <v>9831.27</v>
      </c>
      <c r="H370" s="28">
        <f t="shared" si="202"/>
        <v>16431.61</v>
      </c>
      <c r="I370" s="28">
        <f t="shared" si="202"/>
        <v>14436</v>
      </c>
      <c r="J370" s="28">
        <f t="shared" si="202"/>
        <v>17234</v>
      </c>
      <c r="K370" s="28">
        <f t="shared" si="202"/>
        <v>19107</v>
      </c>
      <c r="L370" s="28">
        <f t="shared" si="202"/>
        <v>0</v>
      </c>
      <c r="M370" s="28">
        <f t="shared" si="202"/>
        <v>0</v>
      </c>
      <c r="N370" s="28">
        <f t="shared" si="202"/>
        <v>0</v>
      </c>
      <c r="O370" s="28">
        <f t="shared" si="202"/>
        <v>0</v>
      </c>
      <c r="P370" s="28">
        <f t="shared" si="202"/>
        <v>19107</v>
      </c>
      <c r="Q370" s="28">
        <f t="shared" si="202"/>
        <v>8334.6299999999992</v>
      </c>
      <c r="R370" s="29">
        <f t="shared" si="196"/>
        <v>0.43620819594912857</v>
      </c>
      <c r="S370" s="28">
        <f>S365+S369</f>
        <v>0</v>
      </c>
      <c r="T370" s="29">
        <f t="shared" si="197"/>
        <v>0</v>
      </c>
      <c r="U370" s="28">
        <f>U365+U369</f>
        <v>0</v>
      </c>
      <c r="V370" s="29">
        <f t="shared" si="198"/>
        <v>0</v>
      </c>
      <c r="W370" s="28">
        <f>W365+W369</f>
        <v>0</v>
      </c>
      <c r="X370" s="29">
        <f t="shared" si="199"/>
        <v>0</v>
      </c>
      <c r="Y370" s="28">
        <f>Y365+Y369</f>
        <v>19107</v>
      </c>
      <c r="Z370" s="28">
        <f>Z365+Z369</f>
        <v>19107</v>
      </c>
    </row>
    <row r="372" spans="1:26" ht="13.9" customHeight="1" x14ac:dyDescent="0.25">
      <c r="E372" s="52" t="s">
        <v>55</v>
      </c>
      <c r="F372" s="30" t="s">
        <v>149</v>
      </c>
      <c r="G372" s="118">
        <v>946</v>
      </c>
      <c r="H372" s="118">
        <v>2401.6799999999998</v>
      </c>
      <c r="I372" s="118">
        <v>2402</v>
      </c>
      <c r="J372" s="118">
        <v>1078</v>
      </c>
      <c r="K372" s="118">
        <v>1080</v>
      </c>
      <c r="L372" s="118"/>
      <c r="M372" s="118"/>
      <c r="N372" s="118"/>
      <c r="O372" s="118"/>
      <c r="P372" s="118">
        <f>K372+SUM(L372:O372)</f>
        <v>1080</v>
      </c>
      <c r="Q372" s="118">
        <v>281.25</v>
      </c>
      <c r="R372" s="124">
        <f>IFERROR(Q372/$P372,0)</f>
        <v>0.26041666666666669</v>
      </c>
      <c r="S372" s="118"/>
      <c r="T372" s="124">
        <f>IFERROR(S372/$P372,0)</f>
        <v>0</v>
      </c>
      <c r="U372" s="118"/>
      <c r="V372" s="124">
        <f>IFERROR(U372/$P372,0)</f>
        <v>0</v>
      </c>
      <c r="W372" s="118"/>
      <c r="X372" s="125">
        <f>IFERROR(W372/$P372,0)</f>
        <v>0</v>
      </c>
      <c r="Y372" s="53">
        <f>K372</f>
        <v>1080</v>
      </c>
      <c r="Z372" s="56">
        <f>Y372</f>
        <v>1080</v>
      </c>
    </row>
    <row r="373" spans="1:26" ht="13.9" customHeight="1" x14ac:dyDescent="0.25">
      <c r="E373" s="65"/>
      <c r="F373" s="97" t="s">
        <v>232</v>
      </c>
      <c r="G373" s="120">
        <v>0</v>
      </c>
      <c r="H373" s="120">
        <v>2358</v>
      </c>
      <c r="I373" s="120">
        <v>4484</v>
      </c>
      <c r="J373" s="120">
        <v>4487</v>
      </c>
      <c r="K373" s="120">
        <v>5813</v>
      </c>
      <c r="L373" s="120"/>
      <c r="M373" s="120"/>
      <c r="N373" s="120"/>
      <c r="O373" s="120"/>
      <c r="P373" s="120">
        <f>K373+SUM(L373:O373)</f>
        <v>5813</v>
      </c>
      <c r="Q373" s="120">
        <v>1453.38</v>
      </c>
      <c r="R373" s="121">
        <f>IFERROR(Q373/$P373,0)</f>
        <v>0.25002236366764152</v>
      </c>
      <c r="S373" s="120"/>
      <c r="T373" s="121">
        <f>IFERROR(S373/$P373,0)</f>
        <v>0</v>
      </c>
      <c r="U373" s="120"/>
      <c r="V373" s="121">
        <f>IFERROR(U373/$P373,0)</f>
        <v>0</v>
      </c>
      <c r="W373" s="120"/>
      <c r="X373" s="122">
        <f>IFERROR(W373/$P373,0)</f>
        <v>0</v>
      </c>
      <c r="Y373" s="67">
        <f>K373</f>
        <v>5813</v>
      </c>
      <c r="Z373" s="70">
        <f>Y373</f>
        <v>5813</v>
      </c>
    </row>
    <row r="375" spans="1:26" ht="13.9" customHeight="1" x14ac:dyDescent="0.25">
      <c r="D375" s="73" t="s">
        <v>233</v>
      </c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4"/>
      <c r="S375" s="73"/>
      <c r="T375" s="74"/>
      <c r="U375" s="73"/>
      <c r="V375" s="74"/>
      <c r="W375" s="73"/>
      <c r="X375" s="74"/>
      <c r="Y375" s="73"/>
      <c r="Z375" s="73"/>
    </row>
    <row r="376" spans="1:26" ht="13.9" customHeight="1" x14ac:dyDescent="0.25">
      <c r="D376" s="21" t="s">
        <v>32</v>
      </c>
      <c r="E376" s="21" t="s">
        <v>33</v>
      </c>
      <c r="F376" s="21" t="s">
        <v>34</v>
      </c>
      <c r="G376" s="21" t="s">
        <v>1</v>
      </c>
      <c r="H376" s="21" t="s">
        <v>2</v>
      </c>
      <c r="I376" s="21" t="s">
        <v>3</v>
      </c>
      <c r="J376" s="21" t="s">
        <v>4</v>
      </c>
      <c r="K376" s="21" t="s">
        <v>5</v>
      </c>
      <c r="L376" s="21" t="s">
        <v>6</v>
      </c>
      <c r="M376" s="21" t="s">
        <v>7</v>
      </c>
      <c r="N376" s="21" t="s">
        <v>8</v>
      </c>
      <c r="O376" s="21" t="s">
        <v>9</v>
      </c>
      <c r="P376" s="21" t="s">
        <v>123</v>
      </c>
      <c r="Q376" s="21" t="s">
        <v>11</v>
      </c>
      <c r="R376" s="22" t="s">
        <v>12</v>
      </c>
      <c r="S376" s="21" t="s">
        <v>13</v>
      </c>
      <c r="T376" s="22" t="s">
        <v>14</v>
      </c>
      <c r="U376" s="21" t="s">
        <v>15</v>
      </c>
      <c r="V376" s="22" t="s">
        <v>16</v>
      </c>
      <c r="W376" s="21" t="s">
        <v>17</v>
      </c>
      <c r="X376" s="22" t="s">
        <v>18</v>
      </c>
      <c r="Y376" s="21" t="s">
        <v>19</v>
      </c>
      <c r="Z376" s="21" t="s">
        <v>20</v>
      </c>
    </row>
    <row r="377" spans="1:26" ht="13.9" customHeight="1" x14ac:dyDescent="0.25">
      <c r="A377" s="15">
        <v>6</v>
      </c>
      <c r="B377" s="15">
        <v>1</v>
      </c>
      <c r="C377" s="15">
        <v>2</v>
      </c>
      <c r="D377" s="84" t="s">
        <v>231</v>
      </c>
      <c r="E377" s="24">
        <v>640</v>
      </c>
      <c r="F377" s="24" t="s">
        <v>134</v>
      </c>
      <c r="G377" s="25">
        <v>5500</v>
      </c>
      <c r="H377" s="25">
        <v>6300</v>
      </c>
      <c r="I377" s="25">
        <f>SUM(I381:I383)</f>
        <v>6300</v>
      </c>
      <c r="J377" s="25">
        <f>SUM(J381:J383)</f>
        <v>6300</v>
      </c>
      <c r="K377" s="25">
        <f>SUM(K381:K383)</f>
        <v>5900</v>
      </c>
      <c r="L377" s="25">
        <v>300</v>
      </c>
      <c r="M377" s="25"/>
      <c r="N377" s="25"/>
      <c r="O377" s="25"/>
      <c r="P377" s="25">
        <f>K377+SUM(L377:O377)</f>
        <v>6200</v>
      </c>
      <c r="Q377" s="25">
        <v>600</v>
      </c>
      <c r="R377" s="26">
        <f>IFERROR(Q377/$P377,0)</f>
        <v>9.6774193548387094E-2</v>
      </c>
      <c r="S377" s="25"/>
      <c r="T377" s="26">
        <f>IFERROR(S377/$P377,0)</f>
        <v>0</v>
      </c>
      <c r="U377" s="25"/>
      <c r="V377" s="26">
        <f>IFERROR(U377/$P377,0)</f>
        <v>0</v>
      </c>
      <c r="W377" s="25"/>
      <c r="X377" s="26">
        <f>IFERROR(W377/$P377,0)</f>
        <v>0</v>
      </c>
      <c r="Y377" s="25">
        <f>SUM(Y381:Y383)</f>
        <v>3300</v>
      </c>
      <c r="Z377" s="25">
        <f>SUM(Z381:Z383)</f>
        <v>3300</v>
      </c>
    </row>
    <row r="378" spans="1:26" ht="13.9" customHeight="1" x14ac:dyDescent="0.25">
      <c r="A378" s="15">
        <v>6</v>
      </c>
      <c r="B378" s="15">
        <v>1</v>
      </c>
      <c r="C378" s="15">
        <v>2</v>
      </c>
      <c r="D378" s="79" t="s">
        <v>21</v>
      </c>
      <c r="E378" s="48">
        <v>41</v>
      </c>
      <c r="F378" s="48" t="s">
        <v>23</v>
      </c>
      <c r="G378" s="49">
        <f t="shared" ref="G378:Q378" si="203">SUM(G377)</f>
        <v>5500</v>
      </c>
      <c r="H378" s="49">
        <f t="shared" si="203"/>
        <v>6300</v>
      </c>
      <c r="I378" s="49">
        <f t="shared" si="203"/>
        <v>6300</v>
      </c>
      <c r="J378" s="49">
        <f t="shared" si="203"/>
        <v>6300</v>
      </c>
      <c r="K378" s="49">
        <f t="shared" si="203"/>
        <v>5900</v>
      </c>
      <c r="L378" s="49">
        <f t="shared" si="203"/>
        <v>300</v>
      </c>
      <c r="M378" s="49">
        <f t="shared" si="203"/>
        <v>0</v>
      </c>
      <c r="N378" s="49">
        <f t="shared" si="203"/>
        <v>0</v>
      </c>
      <c r="O378" s="49">
        <f t="shared" si="203"/>
        <v>0</v>
      </c>
      <c r="P378" s="49">
        <f t="shared" si="203"/>
        <v>6200</v>
      </c>
      <c r="Q378" s="49">
        <f t="shared" si="203"/>
        <v>600</v>
      </c>
      <c r="R378" s="50">
        <f>IFERROR(Q378/$P378,0)</f>
        <v>9.6774193548387094E-2</v>
      </c>
      <c r="S378" s="49">
        <f>SUM(S377)</f>
        <v>0</v>
      </c>
      <c r="T378" s="50">
        <f>IFERROR(S378/$P378,0)</f>
        <v>0</v>
      </c>
      <c r="U378" s="49">
        <f>SUM(U377)</f>
        <v>0</v>
      </c>
      <c r="V378" s="50">
        <f>IFERROR(U378/$P378,0)</f>
        <v>0</v>
      </c>
      <c r="W378" s="49">
        <f>SUM(W377)</f>
        <v>0</v>
      </c>
      <c r="X378" s="50">
        <f>IFERROR(W378/$P378,0)</f>
        <v>0</v>
      </c>
      <c r="Y378" s="49">
        <f>SUM(Y377)</f>
        <v>3300</v>
      </c>
      <c r="Z378" s="49">
        <f>SUM(Z377)</f>
        <v>3300</v>
      </c>
    </row>
    <row r="379" spans="1:26" ht="13.9" customHeight="1" x14ac:dyDescent="0.25">
      <c r="A379" s="15">
        <v>6</v>
      </c>
      <c r="B379" s="15">
        <v>1</v>
      </c>
      <c r="C379" s="15">
        <v>2</v>
      </c>
      <c r="D379" s="86"/>
      <c r="E379" s="87"/>
      <c r="F379" s="27" t="s">
        <v>126</v>
      </c>
      <c r="G379" s="28">
        <f t="shared" ref="G379:Q379" si="204">G378</f>
        <v>5500</v>
      </c>
      <c r="H379" s="28">
        <f t="shared" si="204"/>
        <v>6300</v>
      </c>
      <c r="I379" s="28">
        <f t="shared" si="204"/>
        <v>6300</v>
      </c>
      <c r="J379" s="28">
        <f t="shared" si="204"/>
        <v>6300</v>
      </c>
      <c r="K379" s="28">
        <f t="shared" si="204"/>
        <v>5900</v>
      </c>
      <c r="L379" s="28">
        <f t="shared" si="204"/>
        <v>300</v>
      </c>
      <c r="M379" s="28">
        <f t="shared" si="204"/>
        <v>0</v>
      </c>
      <c r="N379" s="28">
        <f t="shared" si="204"/>
        <v>0</v>
      </c>
      <c r="O379" s="28">
        <f t="shared" si="204"/>
        <v>0</v>
      </c>
      <c r="P379" s="28">
        <f t="shared" si="204"/>
        <v>6200</v>
      </c>
      <c r="Q379" s="28">
        <f t="shared" si="204"/>
        <v>600</v>
      </c>
      <c r="R379" s="29">
        <f>IFERROR(Q379/$P379,0)</f>
        <v>9.6774193548387094E-2</v>
      </c>
      <c r="S379" s="28">
        <f>S378</f>
        <v>0</v>
      </c>
      <c r="T379" s="29">
        <f>IFERROR(S379/$P379,0)</f>
        <v>0</v>
      </c>
      <c r="U379" s="28">
        <f>U378</f>
        <v>0</v>
      </c>
      <c r="V379" s="29">
        <f>IFERROR(U379/$P379,0)</f>
        <v>0</v>
      </c>
      <c r="W379" s="28">
        <f>W378</f>
        <v>0</v>
      </c>
      <c r="X379" s="29">
        <f>IFERROR(W379/$P379,0)</f>
        <v>0</v>
      </c>
      <c r="Y379" s="28">
        <f>Y378</f>
        <v>3300</v>
      </c>
      <c r="Z379" s="28">
        <f>Z378</f>
        <v>3300</v>
      </c>
    </row>
    <row r="381" spans="1:26" ht="13.9" customHeight="1" x14ac:dyDescent="0.25">
      <c r="E381" s="52" t="s">
        <v>55</v>
      </c>
      <c r="F381" s="30" t="s">
        <v>234</v>
      </c>
      <c r="G381" s="53">
        <v>500</v>
      </c>
      <c r="H381" s="53">
        <v>300</v>
      </c>
      <c r="I381" s="53">
        <v>300</v>
      </c>
      <c r="J381" s="53">
        <v>300</v>
      </c>
      <c r="K381" s="118">
        <v>400</v>
      </c>
      <c r="L381" s="53"/>
      <c r="M381" s="53"/>
      <c r="N381" s="53"/>
      <c r="O381" s="53"/>
      <c r="P381" s="53">
        <f>K381+SUM(L381:O381)</f>
        <v>400</v>
      </c>
      <c r="Q381" s="53">
        <v>300</v>
      </c>
      <c r="R381" s="54">
        <f>IFERROR(Q381/$P381,0)</f>
        <v>0.75</v>
      </c>
      <c r="S381" s="53"/>
      <c r="T381" s="54">
        <f>IFERROR(S381/$P381,0)</f>
        <v>0</v>
      </c>
      <c r="U381" s="53"/>
      <c r="V381" s="54">
        <f>IFERROR(U381/$P381,0)</f>
        <v>0</v>
      </c>
      <c r="W381" s="53"/>
      <c r="X381" s="55">
        <f>IFERROR(W381/$P381,0)</f>
        <v>0</v>
      </c>
      <c r="Y381" s="53">
        <v>300</v>
      </c>
      <c r="Z381" s="56">
        <f>Y381</f>
        <v>300</v>
      </c>
    </row>
    <row r="382" spans="1:26" ht="13.9" customHeight="1" x14ac:dyDescent="0.25">
      <c r="E382" s="57"/>
      <c r="F382" s="92" t="s">
        <v>235</v>
      </c>
      <c r="G382" s="95"/>
      <c r="H382" s="95"/>
      <c r="I382" s="95"/>
      <c r="J382" s="95"/>
      <c r="K382" s="93">
        <v>0</v>
      </c>
      <c r="L382" s="95">
        <v>300</v>
      </c>
      <c r="M382" s="95"/>
      <c r="N382" s="95"/>
      <c r="O382" s="95"/>
      <c r="P382" s="95">
        <f>K382+SUM(L382:O382)</f>
        <v>300</v>
      </c>
      <c r="Q382" s="95">
        <v>300</v>
      </c>
      <c r="R382" s="96">
        <f>IFERROR(Q382/$P382,0)</f>
        <v>1</v>
      </c>
      <c r="S382" s="95"/>
      <c r="T382" s="96">
        <f>IFERROR(S382/$P382,0)</f>
        <v>0</v>
      </c>
      <c r="U382" s="95"/>
      <c r="V382" s="96">
        <f>IFERROR(U382/$P382,0)</f>
        <v>0</v>
      </c>
      <c r="W382" s="95"/>
      <c r="X382" s="60">
        <f>IFERROR(W382/$P382,0)</f>
        <v>0</v>
      </c>
      <c r="Y382" s="53"/>
      <c r="Z382" s="56"/>
    </row>
    <row r="383" spans="1:26" ht="13.9" customHeight="1" x14ac:dyDescent="0.25">
      <c r="E383" s="100"/>
      <c r="F383" s="101" t="s">
        <v>236</v>
      </c>
      <c r="G383" s="105">
        <v>5000</v>
      </c>
      <c r="H383" s="105">
        <v>6000</v>
      </c>
      <c r="I383" s="105">
        <v>6000</v>
      </c>
      <c r="J383" s="105">
        <v>6000</v>
      </c>
      <c r="K383" s="102">
        <v>5500</v>
      </c>
      <c r="L383" s="105"/>
      <c r="M383" s="105"/>
      <c r="N383" s="105"/>
      <c r="O383" s="105"/>
      <c r="P383" s="105">
        <f>K383+SUM(L383:O383)</f>
        <v>5500</v>
      </c>
      <c r="Q383" s="105">
        <v>0</v>
      </c>
      <c r="R383" s="126">
        <f>IFERROR(Q383/$P383,0)</f>
        <v>0</v>
      </c>
      <c r="S383" s="105"/>
      <c r="T383" s="126">
        <f>IFERROR(S383/$P383,0)</f>
        <v>0</v>
      </c>
      <c r="U383" s="105"/>
      <c r="V383" s="126">
        <f>IFERROR(U383/$P383,0)</f>
        <v>0</v>
      </c>
      <c r="W383" s="105"/>
      <c r="X383" s="127">
        <f>IFERROR(W383/$P383,0)</f>
        <v>0</v>
      </c>
      <c r="Y383" s="105">
        <v>3000</v>
      </c>
      <c r="Z383" s="106">
        <f>Y383</f>
        <v>3000</v>
      </c>
    </row>
    <row r="385" spans="1:26" ht="13.9" customHeight="1" x14ac:dyDescent="0.25">
      <c r="D385" s="41" t="s">
        <v>237</v>
      </c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2"/>
      <c r="S385" s="41"/>
      <c r="T385" s="42"/>
      <c r="U385" s="41"/>
      <c r="V385" s="42"/>
      <c r="W385" s="41"/>
      <c r="X385" s="42"/>
      <c r="Y385" s="41"/>
      <c r="Z385" s="41"/>
    </row>
    <row r="386" spans="1:26" ht="13.9" customHeight="1" x14ac:dyDescent="0.25">
      <c r="D386" s="128"/>
      <c r="E386" s="128"/>
      <c r="F386" s="128"/>
      <c r="G386" s="21" t="s">
        <v>1</v>
      </c>
      <c r="H386" s="21" t="s">
        <v>2</v>
      </c>
      <c r="I386" s="21" t="s">
        <v>3</v>
      </c>
      <c r="J386" s="21" t="s">
        <v>4</v>
      </c>
      <c r="K386" s="21" t="s">
        <v>5</v>
      </c>
      <c r="L386" s="21" t="s">
        <v>6</v>
      </c>
      <c r="M386" s="21" t="s">
        <v>7</v>
      </c>
      <c r="N386" s="21" t="s">
        <v>8</v>
      </c>
      <c r="O386" s="21" t="s">
        <v>9</v>
      </c>
      <c r="P386" s="21" t="s">
        <v>123</v>
      </c>
      <c r="Q386" s="21" t="s">
        <v>11</v>
      </c>
      <c r="R386" s="22" t="s">
        <v>12</v>
      </c>
      <c r="S386" s="21" t="s">
        <v>13</v>
      </c>
      <c r="T386" s="22" t="s">
        <v>14</v>
      </c>
      <c r="U386" s="21" t="s">
        <v>15</v>
      </c>
      <c r="V386" s="22" t="s">
        <v>16</v>
      </c>
      <c r="W386" s="21" t="s">
        <v>17</v>
      </c>
      <c r="X386" s="22" t="s">
        <v>18</v>
      </c>
      <c r="Y386" s="21" t="s">
        <v>19</v>
      </c>
      <c r="Z386" s="21" t="s">
        <v>20</v>
      </c>
    </row>
    <row r="387" spans="1:26" ht="13.9" hidden="1" customHeight="1" x14ac:dyDescent="0.25">
      <c r="A387" s="15">
        <v>6</v>
      </c>
      <c r="B387" s="15">
        <v>2</v>
      </c>
      <c r="D387" s="3" t="s">
        <v>21</v>
      </c>
      <c r="E387" s="24">
        <v>111</v>
      </c>
      <c r="F387" s="24" t="s">
        <v>136</v>
      </c>
      <c r="G387" s="25">
        <f t="shared" ref="G387:Q387" si="205">G394</f>
        <v>0</v>
      </c>
      <c r="H387" s="25">
        <f t="shared" si="205"/>
        <v>71.28</v>
      </c>
      <c r="I387" s="25">
        <f t="shared" si="205"/>
        <v>0</v>
      </c>
      <c r="J387" s="25">
        <f t="shared" si="205"/>
        <v>0</v>
      </c>
      <c r="K387" s="25">
        <f t="shared" si="205"/>
        <v>0</v>
      </c>
      <c r="L387" s="25">
        <f t="shared" si="205"/>
        <v>0</v>
      </c>
      <c r="M387" s="25">
        <f t="shared" si="205"/>
        <v>0</v>
      </c>
      <c r="N387" s="25">
        <f t="shared" si="205"/>
        <v>0</v>
      </c>
      <c r="O387" s="25">
        <f t="shared" si="205"/>
        <v>0</v>
      </c>
      <c r="P387" s="25">
        <f t="shared" si="205"/>
        <v>0</v>
      </c>
      <c r="Q387" s="25">
        <f t="shared" si="205"/>
        <v>0</v>
      </c>
      <c r="R387" s="26">
        <f>IFERROR(Q387/$P387,0)</f>
        <v>0</v>
      </c>
      <c r="S387" s="25">
        <f>S394</f>
        <v>0</v>
      </c>
      <c r="T387" s="26">
        <f>IFERROR(S387/$P387,0)</f>
        <v>0</v>
      </c>
      <c r="U387" s="25">
        <f>U394</f>
        <v>0</v>
      </c>
      <c r="V387" s="26">
        <f>IFERROR(U387/$P387,0)</f>
        <v>0</v>
      </c>
      <c r="W387" s="25">
        <f>W394</f>
        <v>0</v>
      </c>
      <c r="X387" s="26">
        <f>IFERROR(W387/$P387,0)</f>
        <v>0</v>
      </c>
      <c r="Y387" s="25">
        <f>Y394</f>
        <v>0</v>
      </c>
      <c r="Z387" s="25">
        <f>Z394</f>
        <v>0</v>
      </c>
    </row>
    <row r="388" spans="1:26" ht="13.9" customHeight="1" x14ac:dyDescent="0.25">
      <c r="A388" s="15">
        <v>6</v>
      </c>
      <c r="B388" s="15">
        <v>2</v>
      </c>
      <c r="D388" s="3" t="s">
        <v>21</v>
      </c>
      <c r="E388" s="137">
        <v>41</v>
      </c>
      <c r="F388" s="137" t="s">
        <v>23</v>
      </c>
      <c r="G388" s="25">
        <f t="shared" ref="G388:O388" si="206">G396+G407+G419</f>
        <v>12610.43</v>
      </c>
      <c r="H388" s="25">
        <f t="shared" si="206"/>
        <v>15022.25</v>
      </c>
      <c r="I388" s="25">
        <f t="shared" si="206"/>
        <v>15981</v>
      </c>
      <c r="J388" s="25">
        <f t="shared" si="206"/>
        <v>16409</v>
      </c>
      <c r="K388" s="25">
        <f t="shared" si="206"/>
        <v>13800</v>
      </c>
      <c r="L388" s="25">
        <f t="shared" si="206"/>
        <v>400</v>
      </c>
      <c r="M388" s="25">
        <f t="shared" si="206"/>
        <v>0</v>
      </c>
      <c r="N388" s="25">
        <f t="shared" si="206"/>
        <v>0</v>
      </c>
      <c r="O388" s="25">
        <f t="shared" si="206"/>
        <v>0</v>
      </c>
      <c r="P388" s="25">
        <f>K388+SUM(L388:O388)</f>
        <v>14200</v>
      </c>
      <c r="Q388" s="25">
        <f>Q396+Q407+Q419</f>
        <v>1722.43</v>
      </c>
      <c r="R388" s="26">
        <f>IFERROR(Q388/$P388,0)</f>
        <v>0.12129788732394367</v>
      </c>
      <c r="S388" s="25">
        <f>S396+S407+S419</f>
        <v>0</v>
      </c>
      <c r="T388" s="26">
        <f>IFERROR(S388/$P388,0)</f>
        <v>0</v>
      </c>
      <c r="U388" s="25">
        <f>U396+U407+U419</f>
        <v>0</v>
      </c>
      <c r="V388" s="26">
        <f>IFERROR(U388/$P388,0)</f>
        <v>0</v>
      </c>
      <c r="W388" s="25">
        <f>W396+W407+W419</f>
        <v>0</v>
      </c>
      <c r="X388" s="26">
        <f>IFERROR(W388/$P388,0)</f>
        <v>0</v>
      </c>
      <c r="Y388" s="25">
        <f>Y396+Y407+Y419</f>
        <v>13800</v>
      </c>
      <c r="Z388" s="25">
        <f>Z396+Z407+Z419</f>
        <v>13800</v>
      </c>
    </row>
    <row r="389" spans="1:26" ht="13.9" customHeight="1" x14ac:dyDescent="0.25">
      <c r="A389" s="15">
        <v>6</v>
      </c>
      <c r="B389" s="15">
        <v>2</v>
      </c>
      <c r="D389" s="30"/>
      <c r="E389" s="31"/>
      <c r="F389" s="27" t="s">
        <v>126</v>
      </c>
      <c r="G389" s="28">
        <f t="shared" ref="G389:Q389" si="207">SUM(G387:G388)</f>
        <v>12610.43</v>
      </c>
      <c r="H389" s="28">
        <f t="shared" si="207"/>
        <v>15093.53</v>
      </c>
      <c r="I389" s="28">
        <f t="shared" si="207"/>
        <v>15981</v>
      </c>
      <c r="J389" s="28">
        <f t="shared" si="207"/>
        <v>16409</v>
      </c>
      <c r="K389" s="28">
        <f t="shared" si="207"/>
        <v>13800</v>
      </c>
      <c r="L389" s="28">
        <f t="shared" si="207"/>
        <v>400</v>
      </c>
      <c r="M389" s="28">
        <f t="shared" si="207"/>
        <v>0</v>
      </c>
      <c r="N389" s="28">
        <f t="shared" si="207"/>
        <v>0</v>
      </c>
      <c r="O389" s="28">
        <f t="shared" si="207"/>
        <v>0</v>
      </c>
      <c r="P389" s="28">
        <f t="shared" si="207"/>
        <v>14200</v>
      </c>
      <c r="Q389" s="28">
        <f t="shared" si="207"/>
        <v>1722.43</v>
      </c>
      <c r="R389" s="29">
        <f>IFERROR(Q389/$P389,0)</f>
        <v>0.12129788732394367</v>
      </c>
      <c r="S389" s="28">
        <f>SUM(S387:S388)</f>
        <v>0</v>
      </c>
      <c r="T389" s="29">
        <f>IFERROR(S389/$P389,0)</f>
        <v>0</v>
      </c>
      <c r="U389" s="28">
        <f>SUM(U387:U388)</f>
        <v>0</v>
      </c>
      <c r="V389" s="29">
        <f>IFERROR(U389/$P389,0)</f>
        <v>0</v>
      </c>
      <c r="W389" s="28">
        <f>SUM(W387:W388)</f>
        <v>0</v>
      </c>
      <c r="X389" s="29">
        <f>IFERROR(W389/$P389,0)</f>
        <v>0</v>
      </c>
      <c r="Y389" s="28">
        <f>SUM(Y387:Y388)</f>
        <v>13800</v>
      </c>
      <c r="Z389" s="28">
        <f>SUM(Z387:Z388)</f>
        <v>13800</v>
      </c>
    </row>
    <row r="391" spans="1:26" ht="13.9" customHeight="1" x14ac:dyDescent="0.25">
      <c r="D391" s="73" t="s">
        <v>238</v>
      </c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4"/>
      <c r="S391" s="73"/>
      <c r="T391" s="74"/>
      <c r="U391" s="73"/>
      <c r="V391" s="74"/>
      <c r="W391" s="73"/>
      <c r="X391" s="74"/>
      <c r="Y391" s="73"/>
      <c r="Z391" s="73"/>
    </row>
    <row r="392" spans="1:26" ht="13.9" customHeight="1" x14ac:dyDescent="0.25">
      <c r="D392" s="21" t="s">
        <v>32</v>
      </c>
      <c r="E392" s="21" t="s">
        <v>33</v>
      </c>
      <c r="F392" s="21" t="s">
        <v>34</v>
      </c>
      <c r="G392" s="21" t="s">
        <v>1</v>
      </c>
      <c r="H392" s="21" t="s">
        <v>2</v>
      </c>
      <c r="I392" s="21" t="s">
        <v>3</v>
      </c>
      <c r="J392" s="21" t="s">
        <v>4</v>
      </c>
      <c r="K392" s="21" t="s">
        <v>5</v>
      </c>
      <c r="L392" s="21" t="s">
        <v>6</v>
      </c>
      <c r="M392" s="21" t="s">
        <v>7</v>
      </c>
      <c r="N392" s="21" t="s">
        <v>8</v>
      </c>
      <c r="O392" s="21" t="s">
        <v>9</v>
      </c>
      <c r="P392" s="21" t="s">
        <v>123</v>
      </c>
      <c r="Q392" s="21" t="s">
        <v>11</v>
      </c>
      <c r="R392" s="22" t="s">
        <v>12</v>
      </c>
      <c r="S392" s="21" t="s">
        <v>13</v>
      </c>
      <c r="T392" s="22" t="s">
        <v>14</v>
      </c>
      <c r="U392" s="21" t="s">
        <v>15</v>
      </c>
      <c r="V392" s="22" t="s">
        <v>16</v>
      </c>
      <c r="W392" s="21" t="s">
        <v>17</v>
      </c>
      <c r="X392" s="22" t="s">
        <v>18</v>
      </c>
      <c r="Y392" s="21" t="s">
        <v>19</v>
      </c>
      <c r="Z392" s="21" t="s">
        <v>20</v>
      </c>
    </row>
    <row r="393" spans="1:26" ht="13.9" hidden="1" customHeight="1" x14ac:dyDescent="0.25">
      <c r="A393" s="15">
        <v>6</v>
      </c>
      <c r="B393" s="15">
        <v>2</v>
      </c>
      <c r="C393" s="15">
        <v>1</v>
      </c>
      <c r="D393" s="84" t="s">
        <v>239</v>
      </c>
      <c r="E393" s="24">
        <v>630</v>
      </c>
      <c r="F393" s="24" t="s">
        <v>133</v>
      </c>
      <c r="G393" s="25">
        <v>0</v>
      </c>
      <c r="H393" s="25">
        <v>71.28</v>
      </c>
      <c r="I393" s="25">
        <v>0</v>
      </c>
      <c r="J393" s="25">
        <v>0</v>
      </c>
      <c r="K393" s="25">
        <v>0</v>
      </c>
      <c r="L393" s="25"/>
      <c r="M393" s="25"/>
      <c r="N393" s="25"/>
      <c r="O393" s="25"/>
      <c r="P393" s="25">
        <f>K393+SUM(L393:O393)</f>
        <v>0</v>
      </c>
      <c r="Q393" s="25"/>
      <c r="R393" s="26">
        <f>IFERROR(Q393/$P393,0)</f>
        <v>0</v>
      </c>
      <c r="S393" s="25"/>
      <c r="T393" s="26">
        <f>IFERROR(S393/$P393,0)</f>
        <v>0</v>
      </c>
      <c r="U393" s="25"/>
      <c r="V393" s="26">
        <f>IFERROR(U393/$P393,0)</f>
        <v>0</v>
      </c>
      <c r="W393" s="25"/>
      <c r="X393" s="26">
        <f>IFERROR(W393/$P393,0)</f>
        <v>0</v>
      </c>
      <c r="Y393" s="25">
        <v>0</v>
      </c>
      <c r="Z393" s="25">
        <f>Y393</f>
        <v>0</v>
      </c>
    </row>
    <row r="394" spans="1:26" ht="13.9" hidden="1" customHeight="1" x14ac:dyDescent="0.25">
      <c r="A394" s="15">
        <v>6</v>
      </c>
      <c r="B394" s="15">
        <v>2</v>
      </c>
      <c r="C394" s="15">
        <v>1</v>
      </c>
      <c r="D394" s="79" t="s">
        <v>21</v>
      </c>
      <c r="E394" s="85">
        <v>111</v>
      </c>
      <c r="F394" s="48" t="s">
        <v>136</v>
      </c>
      <c r="G394" s="49">
        <f t="shared" ref="G394:Q394" si="208">SUM(G393)</f>
        <v>0</v>
      </c>
      <c r="H394" s="49">
        <f t="shared" si="208"/>
        <v>71.28</v>
      </c>
      <c r="I394" s="49">
        <f t="shared" si="208"/>
        <v>0</v>
      </c>
      <c r="J394" s="49">
        <f t="shared" si="208"/>
        <v>0</v>
      </c>
      <c r="K394" s="49">
        <f t="shared" si="208"/>
        <v>0</v>
      </c>
      <c r="L394" s="49">
        <f t="shared" si="208"/>
        <v>0</v>
      </c>
      <c r="M394" s="49">
        <f t="shared" si="208"/>
        <v>0</v>
      </c>
      <c r="N394" s="49">
        <f t="shared" si="208"/>
        <v>0</v>
      </c>
      <c r="O394" s="49">
        <f t="shared" si="208"/>
        <v>0</v>
      </c>
      <c r="P394" s="49">
        <f t="shared" si="208"/>
        <v>0</v>
      </c>
      <c r="Q394" s="49">
        <f t="shared" si="208"/>
        <v>0</v>
      </c>
      <c r="R394" s="50">
        <f>IFERROR(Q394/$P394,0)</f>
        <v>0</v>
      </c>
      <c r="S394" s="49">
        <f>SUM(S393)</f>
        <v>0</v>
      </c>
      <c r="T394" s="50">
        <f>IFERROR(S394/$P394,0)</f>
        <v>0</v>
      </c>
      <c r="U394" s="49">
        <f>SUM(U393)</f>
        <v>0</v>
      </c>
      <c r="V394" s="50">
        <f>IFERROR(U394/$P394,0)</f>
        <v>0</v>
      </c>
      <c r="W394" s="49">
        <f>SUM(W393)</f>
        <v>0</v>
      </c>
      <c r="X394" s="50">
        <f>IFERROR(W394/$P394,0)</f>
        <v>0</v>
      </c>
      <c r="Y394" s="49">
        <f>SUM(Y393)</f>
        <v>0</v>
      </c>
      <c r="Z394" s="49">
        <f>SUM(Z393)</f>
        <v>0</v>
      </c>
    </row>
    <row r="395" spans="1:26" ht="13.9" customHeight="1" x14ac:dyDescent="0.25">
      <c r="A395" s="15">
        <v>6</v>
      </c>
      <c r="B395" s="15">
        <v>2</v>
      </c>
      <c r="C395" s="15">
        <v>1</v>
      </c>
      <c r="D395" s="84" t="s">
        <v>239</v>
      </c>
      <c r="E395" s="24">
        <v>630</v>
      </c>
      <c r="F395" s="24" t="s">
        <v>133</v>
      </c>
      <c r="G395" s="46">
        <v>434.5</v>
      </c>
      <c r="H395" s="46">
        <v>603.65</v>
      </c>
      <c r="I395" s="46">
        <v>675</v>
      </c>
      <c r="J395" s="46">
        <v>466</v>
      </c>
      <c r="K395" s="46">
        <v>467</v>
      </c>
      <c r="L395" s="46"/>
      <c r="M395" s="46"/>
      <c r="N395" s="46"/>
      <c r="O395" s="46"/>
      <c r="P395" s="46">
        <f>K395+SUM(L395:O395)</f>
        <v>467</v>
      </c>
      <c r="Q395" s="46">
        <v>150.5</v>
      </c>
      <c r="R395" s="47">
        <f>IFERROR(Q395/$P395,0)</f>
        <v>0.32226980728051391</v>
      </c>
      <c r="S395" s="46"/>
      <c r="T395" s="47">
        <f>IFERROR(S395/$P395,0)</f>
        <v>0</v>
      </c>
      <c r="U395" s="46"/>
      <c r="V395" s="47">
        <f>IFERROR(U395/$P395,0)</f>
        <v>0</v>
      </c>
      <c r="W395" s="46"/>
      <c r="X395" s="47">
        <f>IFERROR(W395/$P395,0)</f>
        <v>0</v>
      </c>
      <c r="Y395" s="46">
        <f>K395</f>
        <v>467</v>
      </c>
      <c r="Z395" s="46">
        <f>Y395</f>
        <v>467</v>
      </c>
    </row>
    <row r="396" spans="1:26" ht="13.9" customHeight="1" x14ac:dyDescent="0.25">
      <c r="A396" s="15">
        <v>6</v>
      </c>
      <c r="B396" s="15">
        <v>2</v>
      </c>
      <c r="C396" s="15">
        <v>1</v>
      </c>
      <c r="D396" s="79" t="s">
        <v>21</v>
      </c>
      <c r="E396" s="48">
        <v>41</v>
      </c>
      <c r="F396" s="48" t="s">
        <v>23</v>
      </c>
      <c r="G396" s="49">
        <f t="shared" ref="G396:Q396" si="209">SUM(G395)</f>
        <v>434.5</v>
      </c>
      <c r="H396" s="49">
        <f t="shared" si="209"/>
        <v>603.65</v>
      </c>
      <c r="I396" s="49">
        <f t="shared" si="209"/>
        <v>675</v>
      </c>
      <c r="J396" s="49">
        <f t="shared" si="209"/>
        <v>466</v>
      </c>
      <c r="K396" s="49">
        <f t="shared" si="209"/>
        <v>467</v>
      </c>
      <c r="L396" s="49">
        <f t="shared" si="209"/>
        <v>0</v>
      </c>
      <c r="M396" s="49">
        <f t="shared" si="209"/>
        <v>0</v>
      </c>
      <c r="N396" s="49">
        <f t="shared" si="209"/>
        <v>0</v>
      </c>
      <c r="O396" s="49">
        <f t="shared" si="209"/>
        <v>0</v>
      </c>
      <c r="P396" s="49">
        <f t="shared" si="209"/>
        <v>467</v>
      </c>
      <c r="Q396" s="49">
        <f t="shared" si="209"/>
        <v>150.5</v>
      </c>
      <c r="R396" s="50">
        <f>IFERROR(Q396/$P396,0)</f>
        <v>0.32226980728051391</v>
      </c>
      <c r="S396" s="49">
        <f>SUM(S395)</f>
        <v>0</v>
      </c>
      <c r="T396" s="50">
        <f>IFERROR(S396/$P396,0)</f>
        <v>0</v>
      </c>
      <c r="U396" s="49">
        <f>SUM(U395)</f>
        <v>0</v>
      </c>
      <c r="V396" s="50">
        <f>IFERROR(U396/$P396,0)</f>
        <v>0</v>
      </c>
      <c r="W396" s="49">
        <f>SUM(W395)</f>
        <v>0</v>
      </c>
      <c r="X396" s="50">
        <f>IFERROR(W396/$P396,0)</f>
        <v>0</v>
      </c>
      <c r="Y396" s="49">
        <f>SUM(Y395)</f>
        <v>467</v>
      </c>
      <c r="Z396" s="49">
        <f>SUM(Z395)</f>
        <v>467</v>
      </c>
    </row>
    <row r="397" spans="1:26" ht="13.9" customHeight="1" x14ac:dyDescent="0.25">
      <c r="A397" s="15">
        <v>6</v>
      </c>
      <c r="B397" s="15">
        <v>2</v>
      </c>
      <c r="C397" s="15">
        <v>1</v>
      </c>
      <c r="D397" s="86"/>
      <c r="E397" s="87"/>
      <c r="F397" s="27" t="s">
        <v>126</v>
      </c>
      <c r="G397" s="28">
        <f t="shared" ref="G397:Q397" si="210">G394+G396</f>
        <v>434.5</v>
      </c>
      <c r="H397" s="28">
        <f t="shared" si="210"/>
        <v>674.93</v>
      </c>
      <c r="I397" s="28">
        <f t="shared" si="210"/>
        <v>675</v>
      </c>
      <c r="J397" s="28">
        <f t="shared" si="210"/>
        <v>466</v>
      </c>
      <c r="K397" s="28">
        <f t="shared" si="210"/>
        <v>467</v>
      </c>
      <c r="L397" s="28">
        <f t="shared" si="210"/>
        <v>0</v>
      </c>
      <c r="M397" s="28">
        <f t="shared" si="210"/>
        <v>0</v>
      </c>
      <c r="N397" s="28">
        <f t="shared" si="210"/>
        <v>0</v>
      </c>
      <c r="O397" s="28">
        <f t="shared" si="210"/>
        <v>0</v>
      </c>
      <c r="P397" s="28">
        <f t="shared" si="210"/>
        <v>467</v>
      </c>
      <c r="Q397" s="28">
        <f t="shared" si="210"/>
        <v>150.5</v>
      </c>
      <c r="R397" s="29">
        <f>IFERROR(Q397/$P397,0)</f>
        <v>0.32226980728051391</v>
      </c>
      <c r="S397" s="28">
        <f>S394+S396</f>
        <v>0</v>
      </c>
      <c r="T397" s="29">
        <f>IFERROR(S397/$P397,0)</f>
        <v>0</v>
      </c>
      <c r="U397" s="28">
        <f>U394+U396</f>
        <v>0</v>
      </c>
      <c r="V397" s="29">
        <f>IFERROR(U397/$P397,0)</f>
        <v>0</v>
      </c>
      <c r="W397" s="28">
        <f>W394+W396</f>
        <v>0</v>
      </c>
      <c r="X397" s="29">
        <f>IFERROR(W397/$P397,0)</f>
        <v>0</v>
      </c>
      <c r="Y397" s="28">
        <f>Y394+Y396</f>
        <v>467</v>
      </c>
      <c r="Z397" s="28">
        <f>Z394+Z396</f>
        <v>467</v>
      </c>
    </row>
    <row r="399" spans="1:26" ht="13.9" customHeight="1" x14ac:dyDescent="0.25">
      <c r="E399" s="52" t="s">
        <v>55</v>
      </c>
      <c r="F399" s="30" t="s">
        <v>149</v>
      </c>
      <c r="G399" s="53">
        <v>385</v>
      </c>
      <c r="H399" s="53">
        <v>630.92999999999995</v>
      </c>
      <c r="I399" s="53">
        <v>631</v>
      </c>
      <c r="J399" s="53">
        <v>444</v>
      </c>
      <c r="K399" s="53">
        <v>445</v>
      </c>
      <c r="L399" s="53"/>
      <c r="M399" s="53"/>
      <c r="N399" s="53"/>
      <c r="O399" s="53"/>
      <c r="P399" s="53">
        <f>K399+SUM(L399:O399)</f>
        <v>445</v>
      </c>
      <c r="Q399" s="53">
        <v>136.97999999999999</v>
      </c>
      <c r="R399" s="54">
        <f>IFERROR(Q399/$P399,0)</f>
        <v>0.30782022471910109</v>
      </c>
      <c r="S399" s="53"/>
      <c r="T399" s="54">
        <f>IFERROR(S399/$P399,0)</f>
        <v>0</v>
      </c>
      <c r="U399" s="53"/>
      <c r="V399" s="54">
        <f>IFERROR(U399/$P399,0)</f>
        <v>0</v>
      </c>
      <c r="W399" s="53"/>
      <c r="X399" s="55">
        <f>IFERROR(W399/$P399,0)</f>
        <v>0</v>
      </c>
      <c r="Y399" s="53">
        <f>P399</f>
        <v>445</v>
      </c>
      <c r="Z399" s="56">
        <f>Y399</f>
        <v>445</v>
      </c>
    </row>
    <row r="400" spans="1:26" ht="13.9" customHeight="1" x14ac:dyDescent="0.25">
      <c r="E400" s="65"/>
      <c r="F400" s="66" t="s">
        <v>150</v>
      </c>
      <c r="G400" s="67">
        <v>49.5</v>
      </c>
      <c r="H400" s="67">
        <v>44</v>
      </c>
      <c r="I400" s="67">
        <v>44</v>
      </c>
      <c r="J400" s="67">
        <v>22</v>
      </c>
      <c r="K400" s="67">
        <v>22</v>
      </c>
      <c r="L400" s="67"/>
      <c r="M400" s="67"/>
      <c r="N400" s="67"/>
      <c r="O400" s="67"/>
      <c r="P400" s="67">
        <f>K400+SUM(L400:O400)</f>
        <v>22</v>
      </c>
      <c r="Q400" s="67">
        <v>13.52</v>
      </c>
      <c r="R400" s="68">
        <f>IFERROR(Q400/$P400,0)</f>
        <v>0.61454545454545451</v>
      </c>
      <c r="S400" s="67"/>
      <c r="T400" s="68">
        <f>IFERROR(S400/$P400,0)</f>
        <v>0</v>
      </c>
      <c r="U400" s="67"/>
      <c r="V400" s="68">
        <f>IFERROR(U400/$P400,0)</f>
        <v>0</v>
      </c>
      <c r="W400" s="67"/>
      <c r="X400" s="69">
        <f>IFERROR(W400/$P400,0)</f>
        <v>0</v>
      </c>
      <c r="Y400" s="67">
        <f>P400</f>
        <v>22</v>
      </c>
      <c r="Z400" s="70">
        <f>Y400</f>
        <v>22</v>
      </c>
    </row>
    <row r="402" spans="1:26" ht="13.9" customHeight="1" x14ac:dyDescent="0.25">
      <c r="D402" s="73" t="s">
        <v>240</v>
      </c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4"/>
      <c r="S402" s="73"/>
      <c r="T402" s="74"/>
      <c r="U402" s="73"/>
      <c r="V402" s="74"/>
      <c r="W402" s="73"/>
      <c r="X402" s="74"/>
      <c r="Y402" s="73"/>
      <c r="Z402" s="73"/>
    </row>
    <row r="403" spans="1:26" ht="13.9" customHeight="1" x14ac:dyDescent="0.25">
      <c r="D403" s="21" t="s">
        <v>32</v>
      </c>
      <c r="E403" s="21" t="s">
        <v>33</v>
      </c>
      <c r="F403" s="21" t="s">
        <v>34</v>
      </c>
      <c r="G403" s="21" t="s">
        <v>1</v>
      </c>
      <c r="H403" s="21" t="s">
        <v>2</v>
      </c>
      <c r="I403" s="21" t="s">
        <v>3</v>
      </c>
      <c r="J403" s="21" t="s">
        <v>4</v>
      </c>
      <c r="K403" s="21" t="s">
        <v>5</v>
      </c>
      <c r="L403" s="21" t="s">
        <v>6</v>
      </c>
      <c r="M403" s="21" t="s">
        <v>7</v>
      </c>
      <c r="N403" s="21" t="s">
        <v>8</v>
      </c>
      <c r="O403" s="21" t="s">
        <v>9</v>
      </c>
      <c r="P403" s="21" t="s">
        <v>123</v>
      </c>
      <c r="Q403" s="21" t="s">
        <v>11</v>
      </c>
      <c r="R403" s="22" t="s">
        <v>12</v>
      </c>
      <c r="S403" s="21" t="s">
        <v>13</v>
      </c>
      <c r="T403" s="22" t="s">
        <v>14</v>
      </c>
      <c r="U403" s="21" t="s">
        <v>15</v>
      </c>
      <c r="V403" s="22" t="s">
        <v>16</v>
      </c>
      <c r="W403" s="21" t="s">
        <v>17</v>
      </c>
      <c r="X403" s="22" t="s">
        <v>18</v>
      </c>
      <c r="Y403" s="21" t="s">
        <v>19</v>
      </c>
      <c r="Z403" s="21" t="s">
        <v>20</v>
      </c>
    </row>
    <row r="404" spans="1:26" ht="13.9" customHeight="1" x14ac:dyDescent="0.25">
      <c r="A404" s="15">
        <v>6</v>
      </c>
      <c r="B404" s="15">
        <v>2</v>
      </c>
      <c r="C404" s="15">
        <v>2</v>
      </c>
      <c r="D404" s="5" t="s">
        <v>239</v>
      </c>
      <c r="E404" s="24">
        <v>620</v>
      </c>
      <c r="F404" s="24" t="s">
        <v>132</v>
      </c>
      <c r="G404" s="25">
        <v>0</v>
      </c>
      <c r="H404" s="25">
        <v>0</v>
      </c>
      <c r="I404" s="25">
        <v>0</v>
      </c>
      <c r="J404" s="25">
        <v>54</v>
      </c>
      <c r="K404" s="25">
        <v>0</v>
      </c>
      <c r="L404" s="25">
        <v>43</v>
      </c>
      <c r="M404" s="25"/>
      <c r="N404" s="25"/>
      <c r="O404" s="25"/>
      <c r="P404" s="25">
        <f>K404+SUM(L404:O404)</f>
        <v>43</v>
      </c>
      <c r="Q404" s="25">
        <v>0</v>
      </c>
      <c r="R404" s="26">
        <f>IFERROR(Q404/$P404,0)</f>
        <v>0</v>
      </c>
      <c r="S404" s="25"/>
      <c r="T404" s="26">
        <f>IFERROR(S404/$P404,0)</f>
        <v>0</v>
      </c>
      <c r="U404" s="25"/>
      <c r="V404" s="26">
        <f>IFERROR(U404/$P404,0)</f>
        <v>0</v>
      </c>
      <c r="W404" s="25"/>
      <c r="X404" s="26">
        <f>IFERROR(W404/$P404,0)</f>
        <v>0</v>
      </c>
      <c r="Y404" s="25">
        <f>K404</f>
        <v>0</v>
      </c>
      <c r="Z404" s="25">
        <f>Y404</f>
        <v>0</v>
      </c>
    </row>
    <row r="405" spans="1:26" ht="13.9" customHeight="1" x14ac:dyDescent="0.25">
      <c r="A405" s="15">
        <v>6</v>
      </c>
      <c r="B405" s="15">
        <v>2</v>
      </c>
      <c r="C405" s="15">
        <v>2</v>
      </c>
      <c r="D405" s="5"/>
      <c r="E405" s="24">
        <v>630</v>
      </c>
      <c r="F405" s="24" t="s">
        <v>133</v>
      </c>
      <c r="G405" s="25">
        <v>6662.96</v>
      </c>
      <c r="H405" s="25">
        <v>9020.7999999999993</v>
      </c>
      <c r="I405" s="25">
        <v>9000</v>
      </c>
      <c r="J405" s="25">
        <v>9637</v>
      </c>
      <c r="K405" s="25">
        <v>9700</v>
      </c>
      <c r="L405" s="25">
        <v>-43</v>
      </c>
      <c r="M405" s="25"/>
      <c r="N405" s="25"/>
      <c r="O405" s="25"/>
      <c r="P405" s="25">
        <f>K405+SUM(L405:O405)</f>
        <v>9657</v>
      </c>
      <c r="Q405" s="25">
        <v>611.95000000000005</v>
      </c>
      <c r="R405" s="26">
        <f>IFERROR(Q405/$P405,0)</f>
        <v>6.3368540954747851E-2</v>
      </c>
      <c r="S405" s="25"/>
      <c r="T405" s="26">
        <f>IFERROR(S405/$P405,0)</f>
        <v>0</v>
      </c>
      <c r="U405" s="25"/>
      <c r="V405" s="26">
        <f>IFERROR(U405/$P405,0)</f>
        <v>0</v>
      </c>
      <c r="W405" s="25"/>
      <c r="X405" s="26">
        <f>IFERROR(W405/$P405,0)</f>
        <v>0</v>
      </c>
      <c r="Y405" s="25">
        <f>K405</f>
        <v>9700</v>
      </c>
      <c r="Z405" s="25">
        <f>Y405</f>
        <v>9700</v>
      </c>
    </row>
    <row r="406" spans="1:26" ht="13.9" customHeight="1" x14ac:dyDescent="0.25">
      <c r="A406" s="15">
        <v>6</v>
      </c>
      <c r="B406" s="15">
        <v>2</v>
      </c>
      <c r="C406" s="15">
        <v>2</v>
      </c>
      <c r="D406" s="5" t="s">
        <v>239</v>
      </c>
      <c r="E406" s="24">
        <v>640</v>
      </c>
      <c r="F406" s="24" t="s">
        <v>134</v>
      </c>
      <c r="G406" s="25">
        <v>2675</v>
      </c>
      <c r="H406" s="25">
        <v>2675</v>
      </c>
      <c r="I406" s="25">
        <v>3450</v>
      </c>
      <c r="J406" s="25">
        <v>3650</v>
      </c>
      <c r="K406" s="25">
        <v>250</v>
      </c>
      <c r="L406" s="25">
        <v>400</v>
      </c>
      <c r="M406" s="25"/>
      <c r="N406" s="25"/>
      <c r="O406" s="25"/>
      <c r="P406" s="25">
        <f>K406+SUM(L406:O406)</f>
        <v>650</v>
      </c>
      <c r="Q406" s="25">
        <v>400</v>
      </c>
      <c r="R406" s="26">
        <f>IFERROR(Q406/$P406,0)</f>
        <v>0.61538461538461542</v>
      </c>
      <c r="S406" s="25"/>
      <c r="T406" s="26">
        <f>IFERROR(S406/$P406,0)</f>
        <v>0</v>
      </c>
      <c r="U406" s="25"/>
      <c r="V406" s="26">
        <f>IFERROR(U406/$P406,0)</f>
        <v>0</v>
      </c>
      <c r="W406" s="25"/>
      <c r="X406" s="26">
        <f>IFERROR(W406/$P406,0)</f>
        <v>0</v>
      </c>
      <c r="Y406" s="25">
        <f>K406</f>
        <v>250</v>
      </c>
      <c r="Z406" s="25">
        <f>Y406</f>
        <v>250</v>
      </c>
    </row>
    <row r="407" spans="1:26" ht="13.9" customHeight="1" x14ac:dyDescent="0.25">
      <c r="A407" s="15">
        <v>6</v>
      </c>
      <c r="B407" s="15">
        <v>2</v>
      </c>
      <c r="C407" s="15">
        <v>2</v>
      </c>
      <c r="D407" s="79" t="s">
        <v>21</v>
      </c>
      <c r="E407" s="48">
        <v>41</v>
      </c>
      <c r="F407" s="48" t="s">
        <v>23</v>
      </c>
      <c r="G407" s="49">
        <f t="shared" ref="G407:Q407" si="211">SUM(G404:G406)</f>
        <v>9337.9599999999991</v>
      </c>
      <c r="H407" s="49">
        <f t="shared" si="211"/>
        <v>11695.8</v>
      </c>
      <c r="I407" s="49">
        <f t="shared" si="211"/>
        <v>12450</v>
      </c>
      <c r="J407" s="49">
        <f t="shared" si="211"/>
        <v>13341</v>
      </c>
      <c r="K407" s="49">
        <f t="shared" si="211"/>
        <v>9950</v>
      </c>
      <c r="L407" s="49">
        <f t="shared" si="211"/>
        <v>400</v>
      </c>
      <c r="M407" s="49">
        <f t="shared" si="211"/>
        <v>0</v>
      </c>
      <c r="N407" s="49">
        <f t="shared" si="211"/>
        <v>0</v>
      </c>
      <c r="O407" s="49">
        <f t="shared" si="211"/>
        <v>0</v>
      </c>
      <c r="P407" s="49">
        <f t="shared" si="211"/>
        <v>10350</v>
      </c>
      <c r="Q407" s="49">
        <f t="shared" si="211"/>
        <v>1011.95</v>
      </c>
      <c r="R407" s="50">
        <f>IFERROR(Q407/$P407,0)</f>
        <v>9.7772946859903384E-2</v>
      </c>
      <c r="S407" s="49">
        <f>SUM(S404:S406)</f>
        <v>0</v>
      </c>
      <c r="T407" s="50">
        <f>IFERROR(S407/$P407,0)</f>
        <v>0</v>
      </c>
      <c r="U407" s="49">
        <f>SUM(U404:U406)</f>
        <v>0</v>
      </c>
      <c r="V407" s="50">
        <f>IFERROR(U407/$P407,0)</f>
        <v>0</v>
      </c>
      <c r="W407" s="49">
        <f>SUM(W404:W406)</f>
        <v>0</v>
      </c>
      <c r="X407" s="50">
        <f>IFERROR(W407/$P407,0)</f>
        <v>0</v>
      </c>
      <c r="Y407" s="49">
        <f>SUM(Y404:Y406)</f>
        <v>9950</v>
      </c>
      <c r="Z407" s="49">
        <f>SUM(Z404:Z406)</f>
        <v>9950</v>
      </c>
    </row>
    <row r="408" spans="1:26" ht="13.9" customHeight="1" x14ac:dyDescent="0.25">
      <c r="A408" s="15">
        <v>6</v>
      </c>
      <c r="B408" s="15">
        <v>2</v>
      </c>
      <c r="C408" s="15">
        <v>2</v>
      </c>
      <c r="D408" s="86"/>
      <c r="E408" s="87"/>
      <c r="F408" s="27" t="s">
        <v>126</v>
      </c>
      <c r="G408" s="28">
        <f t="shared" ref="G408:Q408" si="212">G407</f>
        <v>9337.9599999999991</v>
      </c>
      <c r="H408" s="28">
        <f t="shared" si="212"/>
        <v>11695.8</v>
      </c>
      <c r="I408" s="28">
        <f t="shared" si="212"/>
        <v>12450</v>
      </c>
      <c r="J408" s="28">
        <f t="shared" si="212"/>
        <v>13341</v>
      </c>
      <c r="K408" s="28">
        <f t="shared" si="212"/>
        <v>9950</v>
      </c>
      <c r="L408" s="28">
        <f t="shared" si="212"/>
        <v>400</v>
      </c>
      <c r="M408" s="28">
        <f t="shared" si="212"/>
        <v>0</v>
      </c>
      <c r="N408" s="28">
        <f t="shared" si="212"/>
        <v>0</v>
      </c>
      <c r="O408" s="28">
        <f t="shared" si="212"/>
        <v>0</v>
      </c>
      <c r="P408" s="28">
        <f t="shared" si="212"/>
        <v>10350</v>
      </c>
      <c r="Q408" s="28">
        <f t="shared" si="212"/>
        <v>1011.95</v>
      </c>
      <c r="R408" s="29">
        <f>IFERROR(Q408/$P408,0)</f>
        <v>9.7772946859903384E-2</v>
      </c>
      <c r="S408" s="28">
        <f>S407</f>
        <v>0</v>
      </c>
      <c r="T408" s="29">
        <f>IFERROR(S408/$P408,0)</f>
        <v>0</v>
      </c>
      <c r="U408" s="28">
        <f>U407</f>
        <v>0</v>
      </c>
      <c r="V408" s="29">
        <f>IFERROR(U408/$P408,0)</f>
        <v>0</v>
      </c>
      <c r="W408" s="28">
        <f>W407</f>
        <v>0</v>
      </c>
      <c r="X408" s="29">
        <f>IFERROR(W408/$P408,0)</f>
        <v>0</v>
      </c>
      <c r="Y408" s="28">
        <f>Y407</f>
        <v>9950</v>
      </c>
      <c r="Z408" s="28">
        <f>Z407</f>
        <v>9950</v>
      </c>
    </row>
    <row r="410" spans="1:26" ht="13.9" hidden="1" customHeight="1" x14ac:dyDescent="0.25">
      <c r="E410" s="52" t="s">
        <v>55</v>
      </c>
      <c r="F410" s="30" t="s">
        <v>241</v>
      </c>
      <c r="G410" s="53">
        <v>2500</v>
      </c>
      <c r="H410" s="53">
        <v>2500</v>
      </c>
      <c r="I410" s="53">
        <v>3200</v>
      </c>
      <c r="J410" s="53">
        <v>3200</v>
      </c>
      <c r="K410" s="53">
        <v>0</v>
      </c>
      <c r="L410" s="53"/>
      <c r="M410" s="53"/>
      <c r="N410" s="53"/>
      <c r="O410" s="53"/>
      <c r="P410" s="53">
        <f>K410+SUM(L410:O410)</f>
        <v>0</v>
      </c>
      <c r="Q410" s="53"/>
      <c r="R410" s="54">
        <f>IFERROR(Q410/$P410,0)</f>
        <v>0</v>
      </c>
      <c r="S410" s="53"/>
      <c r="T410" s="54">
        <f>IFERROR(S410/$P410,0)</f>
        <v>0</v>
      </c>
      <c r="U410" s="53"/>
      <c r="V410" s="54">
        <f>IFERROR(U410/$P410,0)</f>
        <v>0</v>
      </c>
      <c r="W410" s="53"/>
      <c r="X410" s="55">
        <f>IFERROR(W410/$P410,0)</f>
        <v>0</v>
      </c>
      <c r="Y410" s="53">
        <f>K410</f>
        <v>0</v>
      </c>
      <c r="Z410" s="56">
        <f>Y410</f>
        <v>0</v>
      </c>
    </row>
    <row r="411" spans="1:26" ht="13.9" customHeight="1" x14ac:dyDescent="0.25">
      <c r="E411" s="138" t="s">
        <v>55</v>
      </c>
      <c r="F411" s="139" t="s">
        <v>242</v>
      </c>
      <c r="G411" s="140">
        <v>175</v>
      </c>
      <c r="H411" s="140">
        <v>175</v>
      </c>
      <c r="I411" s="140">
        <v>250</v>
      </c>
      <c r="J411" s="140">
        <v>450</v>
      </c>
      <c r="K411" s="140">
        <v>250</v>
      </c>
      <c r="L411" s="140">
        <v>400</v>
      </c>
      <c r="M411" s="140"/>
      <c r="N411" s="140"/>
      <c r="O411" s="140"/>
      <c r="P411" s="140">
        <f>K411+SUM(L411:O411)</f>
        <v>650</v>
      </c>
      <c r="Q411" s="140">
        <v>400</v>
      </c>
      <c r="R411" s="141">
        <f>IFERROR(Q411/$P411,0)</f>
        <v>0.61538461538461542</v>
      </c>
      <c r="S411" s="140"/>
      <c r="T411" s="141">
        <f>IFERROR(S411/$P411,0)</f>
        <v>0</v>
      </c>
      <c r="U411" s="140"/>
      <c r="V411" s="141">
        <f>IFERROR(U411/$P411,0)</f>
        <v>0</v>
      </c>
      <c r="W411" s="140"/>
      <c r="X411" s="142">
        <f>IFERROR(W411/$P411,0)</f>
        <v>0</v>
      </c>
      <c r="Y411" s="59">
        <f>K411</f>
        <v>250</v>
      </c>
      <c r="Z411" s="61">
        <f>Y411</f>
        <v>250</v>
      </c>
    </row>
    <row r="412" spans="1:26" ht="13.9" customHeight="1" x14ac:dyDescent="0.25">
      <c r="E412" s="57"/>
      <c r="F412" s="15" t="s">
        <v>243</v>
      </c>
      <c r="G412" s="62">
        <v>5528.96</v>
      </c>
      <c r="H412" s="62">
        <v>5640.8</v>
      </c>
      <c r="I412" s="62">
        <v>5500</v>
      </c>
      <c r="J412" s="62">
        <v>5788</v>
      </c>
      <c r="K412" s="62">
        <v>5800</v>
      </c>
      <c r="L412" s="62"/>
      <c r="M412" s="62"/>
      <c r="N412" s="62"/>
      <c r="O412" s="62"/>
      <c r="P412" s="62">
        <f>K412+SUM(L412:O412)</f>
        <v>5800</v>
      </c>
      <c r="Q412" s="62">
        <v>0</v>
      </c>
      <c r="R412" s="63">
        <f>IFERROR(Q412/$P412,0)</f>
        <v>0</v>
      </c>
      <c r="S412" s="62"/>
      <c r="T412" s="63">
        <f>IFERROR(S412/$P412,0)</f>
        <v>0</v>
      </c>
      <c r="U412" s="62"/>
      <c r="V412" s="63">
        <f>IFERROR(U412/$P412,0)</f>
        <v>0</v>
      </c>
      <c r="W412" s="62"/>
      <c r="X412" s="64">
        <f>IFERROR(W412/$P412,0)</f>
        <v>0</v>
      </c>
      <c r="Y412" s="59">
        <f>K412</f>
        <v>5800</v>
      </c>
      <c r="Z412" s="61">
        <f>Y412</f>
        <v>5800</v>
      </c>
    </row>
    <row r="413" spans="1:26" ht="13.9" customHeight="1" x14ac:dyDescent="0.25">
      <c r="E413" s="65"/>
      <c r="F413" s="97" t="s">
        <v>244</v>
      </c>
      <c r="G413" s="120">
        <v>1134</v>
      </c>
      <c r="H413" s="120">
        <v>3380.4</v>
      </c>
      <c r="I413" s="120">
        <v>3500</v>
      </c>
      <c r="J413" s="120">
        <v>3903</v>
      </c>
      <c r="K413" s="120">
        <v>3900</v>
      </c>
      <c r="L413" s="120"/>
      <c r="M413" s="120"/>
      <c r="N413" s="120"/>
      <c r="O413" s="120"/>
      <c r="P413" s="120">
        <f>K413+SUM(L413:O413)</f>
        <v>3900</v>
      </c>
      <c r="Q413" s="120">
        <v>611.95000000000005</v>
      </c>
      <c r="R413" s="121">
        <f>IFERROR(Q413/$P413,0)</f>
        <v>0.15691025641025641</v>
      </c>
      <c r="S413" s="120"/>
      <c r="T413" s="121">
        <f>IFERROR(S413/$P413,0)</f>
        <v>0</v>
      </c>
      <c r="U413" s="120"/>
      <c r="V413" s="121">
        <f>IFERROR(U413/$P413,0)</f>
        <v>0</v>
      </c>
      <c r="W413" s="120"/>
      <c r="X413" s="122">
        <f>IFERROR(W413/$P413,0)</f>
        <v>0</v>
      </c>
      <c r="Y413" s="120">
        <f>K413</f>
        <v>3900</v>
      </c>
      <c r="Z413" s="70">
        <f>Y413</f>
        <v>3900</v>
      </c>
    </row>
    <row r="415" spans="1:26" ht="13.9" customHeight="1" x14ac:dyDescent="0.25">
      <c r="D415" s="73" t="s">
        <v>245</v>
      </c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4"/>
      <c r="S415" s="73"/>
      <c r="T415" s="74"/>
      <c r="U415" s="73"/>
      <c r="V415" s="74"/>
      <c r="W415" s="73"/>
      <c r="X415" s="74"/>
      <c r="Y415" s="73"/>
      <c r="Z415" s="73"/>
    </row>
    <row r="416" spans="1:26" ht="13.9" customHeight="1" x14ac:dyDescent="0.25">
      <c r="D416" s="21" t="s">
        <v>32</v>
      </c>
      <c r="E416" s="21" t="s">
        <v>33</v>
      </c>
      <c r="F416" s="21" t="s">
        <v>34</v>
      </c>
      <c r="G416" s="21" t="s">
        <v>1</v>
      </c>
      <c r="H416" s="21" t="s">
        <v>2</v>
      </c>
      <c r="I416" s="21" t="s">
        <v>3</v>
      </c>
      <c r="J416" s="21" t="s">
        <v>4</v>
      </c>
      <c r="K416" s="21" t="s">
        <v>5</v>
      </c>
      <c r="L416" s="21" t="s">
        <v>6</v>
      </c>
      <c r="M416" s="21" t="s">
        <v>7</v>
      </c>
      <c r="N416" s="21" t="s">
        <v>8</v>
      </c>
      <c r="O416" s="21" t="s">
        <v>9</v>
      </c>
      <c r="P416" s="21" t="s">
        <v>123</v>
      </c>
      <c r="Q416" s="21" t="s">
        <v>11</v>
      </c>
      <c r="R416" s="22" t="s">
        <v>12</v>
      </c>
      <c r="S416" s="21" t="s">
        <v>13</v>
      </c>
      <c r="T416" s="22" t="s">
        <v>14</v>
      </c>
      <c r="U416" s="21" t="s">
        <v>15</v>
      </c>
      <c r="V416" s="22" t="s">
        <v>16</v>
      </c>
      <c r="W416" s="21" t="s">
        <v>17</v>
      </c>
      <c r="X416" s="22" t="s">
        <v>18</v>
      </c>
      <c r="Y416" s="21" t="s">
        <v>19</v>
      </c>
      <c r="Z416" s="21" t="s">
        <v>20</v>
      </c>
    </row>
    <row r="417" spans="1:26" ht="13.9" customHeight="1" x14ac:dyDescent="0.25">
      <c r="A417" s="15">
        <v>6</v>
      </c>
      <c r="B417" s="15">
        <v>2</v>
      </c>
      <c r="C417" s="15">
        <v>3</v>
      </c>
      <c r="D417" s="11" t="s">
        <v>239</v>
      </c>
      <c r="E417" s="24">
        <v>620</v>
      </c>
      <c r="F417" s="24" t="s">
        <v>132</v>
      </c>
      <c r="G417" s="25">
        <v>17.760000000000002</v>
      </c>
      <c r="H417" s="25">
        <v>17.760000000000002</v>
      </c>
      <c r="I417" s="25">
        <v>18</v>
      </c>
      <c r="J417" s="25">
        <v>18</v>
      </c>
      <c r="K417" s="25">
        <v>44</v>
      </c>
      <c r="L417" s="25"/>
      <c r="M417" s="25"/>
      <c r="N417" s="25"/>
      <c r="O417" s="25"/>
      <c r="P417" s="25">
        <f>K417+SUM(L417:O417)</f>
        <v>44</v>
      </c>
      <c r="Q417" s="25">
        <v>4.4400000000000004</v>
      </c>
      <c r="R417" s="26">
        <f>IFERROR(Q417/$P417,0)</f>
        <v>0.10090909090909092</v>
      </c>
      <c r="S417" s="25"/>
      <c r="T417" s="26">
        <f>IFERROR(S417/$P417,0)</f>
        <v>0</v>
      </c>
      <c r="U417" s="25"/>
      <c r="V417" s="26">
        <f>IFERROR(U417/$P417,0)</f>
        <v>0</v>
      </c>
      <c r="W417" s="25"/>
      <c r="X417" s="26">
        <f>IFERROR(W417/$P417,0)</f>
        <v>0</v>
      </c>
      <c r="Y417" s="25">
        <f>K417</f>
        <v>44</v>
      </c>
      <c r="Z417" s="25">
        <f>Y417</f>
        <v>44</v>
      </c>
    </row>
    <row r="418" spans="1:26" ht="13.9" customHeight="1" x14ac:dyDescent="0.25">
      <c r="A418" s="15">
        <v>6</v>
      </c>
      <c r="B418" s="15">
        <v>2</v>
      </c>
      <c r="C418" s="15">
        <v>3</v>
      </c>
      <c r="D418" s="11" t="s">
        <v>239</v>
      </c>
      <c r="E418" s="24">
        <v>630</v>
      </c>
      <c r="F418" s="24" t="s">
        <v>133</v>
      </c>
      <c r="G418" s="25">
        <v>2820.21</v>
      </c>
      <c r="H418" s="25">
        <v>2705.04</v>
      </c>
      <c r="I418" s="25">
        <v>2838</v>
      </c>
      <c r="J418" s="25">
        <v>2584</v>
      </c>
      <c r="K418" s="46">
        <v>3339</v>
      </c>
      <c r="L418" s="25"/>
      <c r="M418" s="25"/>
      <c r="N418" s="25"/>
      <c r="O418" s="25"/>
      <c r="P418" s="25">
        <f>K418+SUM(L418:O418)</f>
        <v>3339</v>
      </c>
      <c r="Q418" s="25">
        <v>555.54</v>
      </c>
      <c r="R418" s="26">
        <f>IFERROR(Q418/$P418,0)</f>
        <v>0.16637915543575921</v>
      </c>
      <c r="S418" s="25"/>
      <c r="T418" s="26">
        <f>IFERROR(S418/$P418,0)</f>
        <v>0</v>
      </c>
      <c r="U418" s="25"/>
      <c r="V418" s="26">
        <f>IFERROR(U418/$P418,0)</f>
        <v>0</v>
      </c>
      <c r="W418" s="25"/>
      <c r="X418" s="26">
        <f>IFERROR(W418/$P418,0)</f>
        <v>0</v>
      </c>
      <c r="Y418" s="25">
        <f>K418</f>
        <v>3339</v>
      </c>
      <c r="Z418" s="25">
        <f>Y418</f>
        <v>3339</v>
      </c>
    </row>
    <row r="419" spans="1:26" ht="13.9" customHeight="1" x14ac:dyDescent="0.25">
      <c r="A419" s="15">
        <v>6</v>
      </c>
      <c r="B419" s="15">
        <v>2</v>
      </c>
      <c r="C419" s="15">
        <v>3</v>
      </c>
      <c r="D419" s="79" t="s">
        <v>21</v>
      </c>
      <c r="E419" s="48">
        <v>41</v>
      </c>
      <c r="F419" s="48" t="s">
        <v>23</v>
      </c>
      <c r="G419" s="49">
        <f t="shared" ref="G419:Q419" si="213">SUM(G417:G418)</f>
        <v>2837.9700000000003</v>
      </c>
      <c r="H419" s="49">
        <f t="shared" si="213"/>
        <v>2722.8</v>
      </c>
      <c r="I419" s="49">
        <f t="shared" si="213"/>
        <v>2856</v>
      </c>
      <c r="J419" s="49">
        <f t="shared" si="213"/>
        <v>2602</v>
      </c>
      <c r="K419" s="49">
        <f t="shared" si="213"/>
        <v>3383</v>
      </c>
      <c r="L419" s="49">
        <f t="shared" si="213"/>
        <v>0</v>
      </c>
      <c r="M419" s="49">
        <f t="shared" si="213"/>
        <v>0</v>
      </c>
      <c r="N419" s="49">
        <f t="shared" si="213"/>
        <v>0</v>
      </c>
      <c r="O419" s="49">
        <f t="shared" si="213"/>
        <v>0</v>
      </c>
      <c r="P419" s="49">
        <f t="shared" si="213"/>
        <v>3383</v>
      </c>
      <c r="Q419" s="49">
        <f t="shared" si="213"/>
        <v>559.98</v>
      </c>
      <c r="R419" s="50">
        <f>IFERROR(Q419/$P419,0)</f>
        <v>0.16552763819095478</v>
      </c>
      <c r="S419" s="49">
        <f>SUM(S417:S418)</f>
        <v>0</v>
      </c>
      <c r="T419" s="50">
        <f>IFERROR(S419/$P419,0)</f>
        <v>0</v>
      </c>
      <c r="U419" s="49">
        <f>SUM(U417:U418)</f>
        <v>0</v>
      </c>
      <c r="V419" s="50">
        <f>IFERROR(U419/$P419,0)</f>
        <v>0</v>
      </c>
      <c r="W419" s="49">
        <f>SUM(W417:W418)</f>
        <v>0</v>
      </c>
      <c r="X419" s="50">
        <f>IFERROR(W419/$P419,0)</f>
        <v>0</v>
      </c>
      <c r="Y419" s="49">
        <f>SUM(Y417:Y418)</f>
        <v>3383</v>
      </c>
      <c r="Z419" s="49">
        <f>SUM(Z417:Z418)</f>
        <v>3383</v>
      </c>
    </row>
    <row r="420" spans="1:26" ht="13.9" customHeight="1" x14ac:dyDescent="0.25">
      <c r="A420" s="15">
        <v>6</v>
      </c>
      <c r="B420" s="15">
        <v>2</v>
      </c>
      <c r="C420" s="15">
        <v>3</v>
      </c>
      <c r="D420" s="86"/>
      <c r="E420" s="87"/>
      <c r="F420" s="27" t="s">
        <v>126</v>
      </c>
      <c r="G420" s="28">
        <f t="shared" ref="G420:Q420" si="214">G419</f>
        <v>2837.9700000000003</v>
      </c>
      <c r="H420" s="28">
        <f t="shared" si="214"/>
        <v>2722.8</v>
      </c>
      <c r="I420" s="28">
        <f t="shared" si="214"/>
        <v>2856</v>
      </c>
      <c r="J420" s="28">
        <f t="shared" si="214"/>
        <v>2602</v>
      </c>
      <c r="K420" s="28">
        <f t="shared" si="214"/>
        <v>3383</v>
      </c>
      <c r="L420" s="28">
        <f t="shared" si="214"/>
        <v>0</v>
      </c>
      <c r="M420" s="28">
        <f t="shared" si="214"/>
        <v>0</v>
      </c>
      <c r="N420" s="28">
        <f t="shared" si="214"/>
        <v>0</v>
      </c>
      <c r="O420" s="28">
        <f t="shared" si="214"/>
        <v>0</v>
      </c>
      <c r="P420" s="28">
        <f t="shared" si="214"/>
        <v>3383</v>
      </c>
      <c r="Q420" s="28">
        <f t="shared" si="214"/>
        <v>559.98</v>
      </c>
      <c r="R420" s="29">
        <f>IFERROR(Q420/$P420,0)</f>
        <v>0.16552763819095478</v>
      </c>
      <c r="S420" s="28">
        <f>S419</f>
        <v>0</v>
      </c>
      <c r="T420" s="29">
        <f>IFERROR(S420/$P420,0)</f>
        <v>0</v>
      </c>
      <c r="U420" s="28">
        <f>U419</f>
        <v>0</v>
      </c>
      <c r="V420" s="29">
        <f>IFERROR(U420/$P420,0)</f>
        <v>0</v>
      </c>
      <c r="W420" s="28">
        <f>W419</f>
        <v>0</v>
      </c>
      <c r="X420" s="29">
        <f>IFERROR(W420/$P420,0)</f>
        <v>0</v>
      </c>
      <c r="Y420" s="28">
        <f>Y419</f>
        <v>3383</v>
      </c>
      <c r="Z420" s="28">
        <f>Z419</f>
        <v>3383</v>
      </c>
    </row>
    <row r="422" spans="1:26" ht="13.9" customHeight="1" x14ac:dyDescent="0.25">
      <c r="D422" s="41" t="s">
        <v>246</v>
      </c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2"/>
      <c r="S422" s="41"/>
      <c r="T422" s="42"/>
      <c r="U422" s="41"/>
      <c r="V422" s="42"/>
      <c r="W422" s="41"/>
      <c r="X422" s="42"/>
      <c r="Y422" s="41"/>
      <c r="Z422" s="41"/>
    </row>
    <row r="423" spans="1:26" ht="13.9" hidden="1" customHeight="1" x14ac:dyDescent="0.25">
      <c r="A423" s="15">
        <v>6</v>
      </c>
      <c r="B423" s="15">
        <v>3</v>
      </c>
      <c r="D423" s="13" t="s">
        <v>21</v>
      </c>
      <c r="E423" s="24">
        <v>111</v>
      </c>
      <c r="F423" s="24" t="s">
        <v>136</v>
      </c>
      <c r="G423" s="25">
        <f t="shared" ref="G423:Q423" si="215">G430</f>
        <v>0</v>
      </c>
      <c r="H423" s="25">
        <f t="shared" si="215"/>
        <v>470.16</v>
      </c>
      <c r="I423" s="25">
        <f t="shared" si="215"/>
        <v>0</v>
      </c>
      <c r="J423" s="25">
        <f t="shared" si="215"/>
        <v>0</v>
      </c>
      <c r="K423" s="25">
        <f t="shared" si="215"/>
        <v>0</v>
      </c>
      <c r="L423" s="25">
        <f t="shared" si="215"/>
        <v>0</v>
      </c>
      <c r="M423" s="25">
        <f t="shared" si="215"/>
        <v>0</v>
      </c>
      <c r="N423" s="25">
        <f t="shared" si="215"/>
        <v>0</v>
      </c>
      <c r="O423" s="25">
        <f t="shared" si="215"/>
        <v>0</v>
      </c>
      <c r="P423" s="25">
        <f t="shared" si="215"/>
        <v>0</v>
      </c>
      <c r="Q423" s="25">
        <f t="shared" si="215"/>
        <v>0</v>
      </c>
      <c r="R423" s="26">
        <f>IFERROR(Q423/$P423,0)</f>
        <v>0</v>
      </c>
      <c r="S423" s="25">
        <f>S430</f>
        <v>0</v>
      </c>
      <c r="T423" s="26">
        <f>IFERROR(S423/$P423,0)</f>
        <v>0</v>
      </c>
      <c r="U423" s="25">
        <f>U430</f>
        <v>0</v>
      </c>
      <c r="V423" s="26">
        <f>IFERROR(U423/$P423,0)</f>
        <v>0</v>
      </c>
      <c r="W423" s="25">
        <f>W430</f>
        <v>0</v>
      </c>
      <c r="X423" s="26">
        <f>IFERROR(W423/$P423,0)</f>
        <v>0</v>
      </c>
      <c r="Y423" s="25">
        <f>Y430</f>
        <v>0</v>
      </c>
      <c r="Z423" s="25">
        <f>Z430</f>
        <v>0</v>
      </c>
    </row>
    <row r="424" spans="1:26" ht="13.9" customHeight="1" x14ac:dyDescent="0.25">
      <c r="A424" s="15">
        <v>6</v>
      </c>
      <c r="B424" s="15">
        <v>3</v>
      </c>
      <c r="D424" s="13" t="s">
        <v>21</v>
      </c>
      <c r="E424" s="24">
        <v>41</v>
      </c>
      <c r="F424" s="24" t="s">
        <v>23</v>
      </c>
      <c r="G424" s="25">
        <f t="shared" ref="G424:Q424" si="216">G432+G442</f>
        <v>11940.66</v>
      </c>
      <c r="H424" s="25">
        <f t="shared" si="216"/>
        <v>9530.880000000001</v>
      </c>
      <c r="I424" s="25">
        <f t="shared" si="216"/>
        <v>10374</v>
      </c>
      <c r="J424" s="25">
        <f t="shared" si="216"/>
        <v>11578</v>
      </c>
      <c r="K424" s="25">
        <f t="shared" si="216"/>
        <v>10928</v>
      </c>
      <c r="L424" s="25">
        <f t="shared" si="216"/>
        <v>0</v>
      </c>
      <c r="M424" s="25">
        <f t="shared" si="216"/>
        <v>0</v>
      </c>
      <c r="N424" s="25">
        <f t="shared" si="216"/>
        <v>0</v>
      </c>
      <c r="O424" s="25">
        <f t="shared" si="216"/>
        <v>0</v>
      </c>
      <c r="P424" s="25">
        <f t="shared" si="216"/>
        <v>10928</v>
      </c>
      <c r="Q424" s="25">
        <f t="shared" si="216"/>
        <v>3301.25</v>
      </c>
      <c r="R424" s="26">
        <f>IFERROR(Q424/$P424,0)</f>
        <v>0.30209095900439237</v>
      </c>
      <c r="S424" s="25">
        <f>S432+S442</f>
        <v>0</v>
      </c>
      <c r="T424" s="26">
        <f>IFERROR(S424/$P424,0)</f>
        <v>0</v>
      </c>
      <c r="U424" s="25">
        <f>U432+U442</f>
        <v>0</v>
      </c>
      <c r="V424" s="26">
        <f>IFERROR(U424/$P424,0)</f>
        <v>0</v>
      </c>
      <c r="W424" s="25">
        <f>W432+W442</f>
        <v>0</v>
      </c>
      <c r="X424" s="26">
        <f>IFERROR(W424/$P424,0)</f>
        <v>0</v>
      </c>
      <c r="Y424" s="25">
        <f>Y432+Y442</f>
        <v>11228</v>
      </c>
      <c r="Z424" s="25">
        <f>Z432+Z442</f>
        <v>11228</v>
      </c>
    </row>
    <row r="425" spans="1:26" ht="13.9" customHeight="1" x14ac:dyDescent="0.25">
      <c r="A425" s="15">
        <v>6</v>
      </c>
      <c r="B425" s="15">
        <v>3</v>
      </c>
      <c r="D425" s="30"/>
      <c r="E425" s="31"/>
      <c r="F425" s="27" t="s">
        <v>126</v>
      </c>
      <c r="G425" s="28">
        <f t="shared" ref="G425:Q425" si="217">SUM(G423:G424)</f>
        <v>11940.66</v>
      </c>
      <c r="H425" s="28">
        <f t="shared" si="217"/>
        <v>10001.040000000001</v>
      </c>
      <c r="I425" s="28">
        <f t="shared" si="217"/>
        <v>10374</v>
      </c>
      <c r="J425" s="28">
        <f t="shared" si="217"/>
        <v>11578</v>
      </c>
      <c r="K425" s="28">
        <f t="shared" si="217"/>
        <v>10928</v>
      </c>
      <c r="L425" s="28">
        <f t="shared" si="217"/>
        <v>0</v>
      </c>
      <c r="M425" s="28">
        <f t="shared" si="217"/>
        <v>0</v>
      </c>
      <c r="N425" s="28">
        <f t="shared" si="217"/>
        <v>0</v>
      </c>
      <c r="O425" s="28">
        <f t="shared" si="217"/>
        <v>0</v>
      </c>
      <c r="P425" s="28">
        <f t="shared" si="217"/>
        <v>10928</v>
      </c>
      <c r="Q425" s="28">
        <f t="shared" si="217"/>
        <v>3301.25</v>
      </c>
      <c r="R425" s="29">
        <f>IFERROR(Q425/$P425,0)</f>
        <v>0.30209095900439237</v>
      </c>
      <c r="S425" s="28">
        <f>SUM(S423:S424)</f>
        <v>0</v>
      </c>
      <c r="T425" s="29">
        <f>IFERROR(S425/$P425,0)</f>
        <v>0</v>
      </c>
      <c r="U425" s="28">
        <f>SUM(U423:U424)</f>
        <v>0</v>
      </c>
      <c r="V425" s="29">
        <f>IFERROR(U425/$P425,0)</f>
        <v>0</v>
      </c>
      <c r="W425" s="28">
        <f>SUM(W423:W424)</f>
        <v>0</v>
      </c>
      <c r="X425" s="29">
        <f>IFERROR(W425/$P425,0)</f>
        <v>0</v>
      </c>
      <c r="Y425" s="28">
        <f>SUM(Y423:Y424)</f>
        <v>11228</v>
      </c>
      <c r="Z425" s="28">
        <f>SUM(Z423:Z424)</f>
        <v>11228</v>
      </c>
    </row>
    <row r="427" spans="1:26" ht="13.9" customHeight="1" x14ac:dyDescent="0.25">
      <c r="D427" s="73" t="s">
        <v>247</v>
      </c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4"/>
      <c r="S427" s="73"/>
      <c r="T427" s="74"/>
      <c r="U427" s="73"/>
      <c r="V427" s="74"/>
      <c r="W427" s="73"/>
      <c r="X427" s="74"/>
      <c r="Y427" s="73"/>
      <c r="Z427" s="73"/>
    </row>
    <row r="428" spans="1:26" ht="13.9" customHeight="1" x14ac:dyDescent="0.25">
      <c r="D428" s="21" t="s">
        <v>32</v>
      </c>
      <c r="E428" s="21" t="s">
        <v>33</v>
      </c>
      <c r="F428" s="21" t="s">
        <v>34</v>
      </c>
      <c r="G428" s="21" t="s">
        <v>1</v>
      </c>
      <c r="H428" s="21" t="s">
        <v>2</v>
      </c>
      <c r="I428" s="21" t="s">
        <v>3</v>
      </c>
      <c r="J428" s="21" t="s">
        <v>4</v>
      </c>
      <c r="K428" s="21" t="s">
        <v>5</v>
      </c>
      <c r="L428" s="21" t="s">
        <v>6</v>
      </c>
      <c r="M428" s="21" t="s">
        <v>7</v>
      </c>
      <c r="N428" s="21" t="s">
        <v>8</v>
      </c>
      <c r="O428" s="21" t="s">
        <v>9</v>
      </c>
      <c r="P428" s="21" t="s">
        <v>123</v>
      </c>
      <c r="Q428" s="21" t="s">
        <v>11</v>
      </c>
      <c r="R428" s="22" t="s">
        <v>12</v>
      </c>
      <c r="S428" s="21" t="s">
        <v>13</v>
      </c>
      <c r="T428" s="22" t="s">
        <v>14</v>
      </c>
      <c r="U428" s="21" t="s">
        <v>15</v>
      </c>
      <c r="V428" s="22" t="s">
        <v>16</v>
      </c>
      <c r="W428" s="21" t="s">
        <v>17</v>
      </c>
      <c r="X428" s="22" t="s">
        <v>18</v>
      </c>
      <c r="Y428" s="21" t="s">
        <v>19</v>
      </c>
      <c r="Z428" s="21" t="s">
        <v>20</v>
      </c>
    </row>
    <row r="429" spans="1:26" ht="13.9" hidden="1" customHeight="1" x14ac:dyDescent="0.25">
      <c r="A429" s="15">
        <v>6</v>
      </c>
      <c r="B429" s="15">
        <v>3</v>
      </c>
      <c r="C429" s="15">
        <v>1</v>
      </c>
      <c r="D429" s="84" t="s">
        <v>248</v>
      </c>
      <c r="E429" s="24">
        <v>630</v>
      </c>
      <c r="F429" s="24" t="s">
        <v>133</v>
      </c>
      <c r="G429" s="25">
        <v>0</v>
      </c>
      <c r="H429" s="25">
        <v>470.16</v>
      </c>
      <c r="I429" s="25">
        <v>0</v>
      </c>
      <c r="J429" s="25">
        <v>0</v>
      </c>
      <c r="K429" s="25">
        <v>0</v>
      </c>
      <c r="L429" s="25"/>
      <c r="M429" s="25"/>
      <c r="N429" s="25"/>
      <c r="O429" s="25"/>
      <c r="P429" s="25">
        <f>K429+SUM(L429:O429)</f>
        <v>0</v>
      </c>
      <c r="Q429" s="25"/>
      <c r="R429" s="26">
        <f>IFERROR(Q429/$P429,0)</f>
        <v>0</v>
      </c>
      <c r="S429" s="25"/>
      <c r="T429" s="26">
        <f>IFERROR(S429/$P429,0)</f>
        <v>0</v>
      </c>
      <c r="U429" s="25"/>
      <c r="V429" s="26">
        <f>IFERROR(U429/$P429,0)</f>
        <v>0</v>
      </c>
      <c r="W429" s="25"/>
      <c r="X429" s="26">
        <f>IFERROR(W429/$P429,0)</f>
        <v>0</v>
      </c>
      <c r="Y429" s="25">
        <v>0</v>
      </c>
      <c r="Z429" s="25">
        <f>Y429</f>
        <v>0</v>
      </c>
    </row>
    <row r="430" spans="1:26" ht="13.9" hidden="1" customHeight="1" x14ac:dyDescent="0.25">
      <c r="A430" s="15">
        <v>6</v>
      </c>
      <c r="B430" s="15">
        <v>3</v>
      </c>
      <c r="C430" s="15">
        <v>1</v>
      </c>
      <c r="D430" s="79" t="s">
        <v>21</v>
      </c>
      <c r="E430" s="85">
        <v>111</v>
      </c>
      <c r="F430" s="48" t="s">
        <v>136</v>
      </c>
      <c r="G430" s="49">
        <f t="shared" ref="G430:Q430" si="218">SUM(G429)</f>
        <v>0</v>
      </c>
      <c r="H430" s="49">
        <f t="shared" si="218"/>
        <v>470.16</v>
      </c>
      <c r="I430" s="49">
        <f t="shared" si="218"/>
        <v>0</v>
      </c>
      <c r="J430" s="49">
        <f t="shared" si="218"/>
        <v>0</v>
      </c>
      <c r="K430" s="49">
        <f t="shared" si="218"/>
        <v>0</v>
      </c>
      <c r="L430" s="49">
        <f t="shared" si="218"/>
        <v>0</v>
      </c>
      <c r="M430" s="49">
        <f t="shared" si="218"/>
        <v>0</v>
      </c>
      <c r="N430" s="49">
        <f t="shared" si="218"/>
        <v>0</v>
      </c>
      <c r="O430" s="49">
        <f t="shared" si="218"/>
        <v>0</v>
      </c>
      <c r="P430" s="49">
        <f t="shared" si="218"/>
        <v>0</v>
      </c>
      <c r="Q430" s="49">
        <f t="shared" si="218"/>
        <v>0</v>
      </c>
      <c r="R430" s="50">
        <f>IFERROR(Q430/$P430,0)</f>
        <v>0</v>
      </c>
      <c r="S430" s="49">
        <f>SUM(S429)</f>
        <v>0</v>
      </c>
      <c r="T430" s="50">
        <f>IFERROR(S430/$P430,0)</f>
        <v>0</v>
      </c>
      <c r="U430" s="49">
        <f>SUM(U429)</f>
        <v>0</v>
      </c>
      <c r="V430" s="50">
        <f>IFERROR(U430/$P430,0)</f>
        <v>0</v>
      </c>
      <c r="W430" s="49">
        <f>SUM(W429)</f>
        <v>0</v>
      </c>
      <c r="X430" s="50">
        <f>IFERROR(W430/$P430,0)</f>
        <v>0</v>
      </c>
      <c r="Y430" s="49">
        <f>SUM(Y429)</f>
        <v>0</v>
      </c>
      <c r="Z430" s="49">
        <f>SUM(Z429)</f>
        <v>0</v>
      </c>
    </row>
    <row r="431" spans="1:26" ht="13.9" customHeight="1" x14ac:dyDescent="0.25">
      <c r="A431" s="15">
        <v>6</v>
      </c>
      <c r="B431" s="15">
        <v>3</v>
      </c>
      <c r="C431" s="15">
        <v>1</v>
      </c>
      <c r="D431" s="84" t="s">
        <v>248</v>
      </c>
      <c r="E431" s="24">
        <v>630</v>
      </c>
      <c r="F431" s="24" t="s">
        <v>133</v>
      </c>
      <c r="G431" s="25">
        <v>7740.66</v>
      </c>
      <c r="H431" s="25">
        <v>5130.88</v>
      </c>
      <c r="I431" s="25">
        <v>5674</v>
      </c>
      <c r="J431" s="25">
        <v>6728</v>
      </c>
      <c r="K431" s="25">
        <v>5078</v>
      </c>
      <c r="L431" s="25"/>
      <c r="M431" s="25"/>
      <c r="N431" s="25"/>
      <c r="O431" s="25"/>
      <c r="P431" s="25">
        <f>K431+SUM(L431:O431)</f>
        <v>5078</v>
      </c>
      <c r="Q431" s="25">
        <v>1801.25</v>
      </c>
      <c r="R431" s="26">
        <f>IFERROR(Q431/$P431,0)</f>
        <v>0.35471642378889329</v>
      </c>
      <c r="S431" s="25"/>
      <c r="T431" s="26">
        <f>IFERROR(S431/$P431,0)</f>
        <v>0</v>
      </c>
      <c r="U431" s="25"/>
      <c r="V431" s="26">
        <f>IFERROR(U431/$P431,0)</f>
        <v>0</v>
      </c>
      <c r="W431" s="25"/>
      <c r="X431" s="26">
        <f>IFERROR(W431/$P431,0)</f>
        <v>0</v>
      </c>
      <c r="Y431" s="25">
        <f>K431</f>
        <v>5078</v>
      </c>
      <c r="Z431" s="25">
        <f>Y431</f>
        <v>5078</v>
      </c>
    </row>
    <row r="432" spans="1:26" ht="13.9" customHeight="1" x14ac:dyDescent="0.25">
      <c r="A432" s="15">
        <v>6</v>
      </c>
      <c r="B432" s="15">
        <v>3</v>
      </c>
      <c r="C432" s="15">
        <v>1</v>
      </c>
      <c r="D432" s="79" t="s">
        <v>21</v>
      </c>
      <c r="E432" s="48">
        <v>41</v>
      </c>
      <c r="F432" s="48" t="s">
        <v>23</v>
      </c>
      <c r="G432" s="49">
        <f t="shared" ref="G432:Q432" si="219">SUM(G431)</f>
        <v>7740.66</v>
      </c>
      <c r="H432" s="49">
        <f t="shared" si="219"/>
        <v>5130.88</v>
      </c>
      <c r="I432" s="49">
        <f t="shared" si="219"/>
        <v>5674</v>
      </c>
      <c r="J432" s="49">
        <f t="shared" si="219"/>
        <v>6728</v>
      </c>
      <c r="K432" s="49">
        <f t="shared" si="219"/>
        <v>5078</v>
      </c>
      <c r="L432" s="49">
        <f t="shared" si="219"/>
        <v>0</v>
      </c>
      <c r="M432" s="49">
        <f t="shared" si="219"/>
        <v>0</v>
      </c>
      <c r="N432" s="49">
        <f t="shared" si="219"/>
        <v>0</v>
      </c>
      <c r="O432" s="49">
        <f t="shared" si="219"/>
        <v>0</v>
      </c>
      <c r="P432" s="49">
        <f t="shared" si="219"/>
        <v>5078</v>
      </c>
      <c r="Q432" s="49">
        <f t="shared" si="219"/>
        <v>1801.25</v>
      </c>
      <c r="R432" s="50">
        <f>IFERROR(Q432/$P432,0)</f>
        <v>0.35471642378889329</v>
      </c>
      <c r="S432" s="49">
        <f>SUM(S431)</f>
        <v>0</v>
      </c>
      <c r="T432" s="50">
        <f>IFERROR(S432/$P432,0)</f>
        <v>0</v>
      </c>
      <c r="U432" s="49">
        <f>SUM(U431)</f>
        <v>0</v>
      </c>
      <c r="V432" s="50">
        <f>IFERROR(U432/$P432,0)</f>
        <v>0</v>
      </c>
      <c r="W432" s="49">
        <f>SUM(W431)</f>
        <v>0</v>
      </c>
      <c r="X432" s="50">
        <f>IFERROR(W432/$P432,0)</f>
        <v>0</v>
      </c>
      <c r="Y432" s="49">
        <f>SUM(Y431)</f>
        <v>5078</v>
      </c>
      <c r="Z432" s="49">
        <f>SUM(Z431)</f>
        <v>5078</v>
      </c>
    </row>
    <row r="433" spans="1:26" ht="13.9" customHeight="1" x14ac:dyDescent="0.25">
      <c r="A433" s="15">
        <v>6</v>
      </c>
      <c r="B433" s="15">
        <v>3</v>
      </c>
      <c r="C433" s="15">
        <v>1</v>
      </c>
      <c r="D433" s="86"/>
      <c r="E433" s="87"/>
      <c r="F433" s="27" t="s">
        <v>126</v>
      </c>
      <c r="G433" s="28">
        <f t="shared" ref="G433:Q433" si="220">G430+G432</f>
        <v>7740.66</v>
      </c>
      <c r="H433" s="28">
        <f t="shared" si="220"/>
        <v>5601.04</v>
      </c>
      <c r="I433" s="28">
        <f t="shared" si="220"/>
        <v>5674</v>
      </c>
      <c r="J433" s="28">
        <f t="shared" si="220"/>
        <v>6728</v>
      </c>
      <c r="K433" s="28">
        <f t="shared" si="220"/>
        <v>5078</v>
      </c>
      <c r="L433" s="28">
        <f t="shared" si="220"/>
        <v>0</v>
      </c>
      <c r="M433" s="28">
        <f t="shared" si="220"/>
        <v>0</v>
      </c>
      <c r="N433" s="28">
        <f t="shared" si="220"/>
        <v>0</v>
      </c>
      <c r="O433" s="28">
        <f t="shared" si="220"/>
        <v>0</v>
      </c>
      <c r="P433" s="28">
        <f t="shared" si="220"/>
        <v>5078</v>
      </c>
      <c r="Q433" s="28">
        <f t="shared" si="220"/>
        <v>1801.25</v>
      </c>
      <c r="R433" s="29">
        <f>IFERROR(Q433/$P433,0)</f>
        <v>0.35471642378889329</v>
      </c>
      <c r="S433" s="28">
        <f>S430+S432</f>
        <v>0</v>
      </c>
      <c r="T433" s="29">
        <f>IFERROR(S433/$P433,0)</f>
        <v>0</v>
      </c>
      <c r="U433" s="28">
        <f>U430+U432</f>
        <v>0</v>
      </c>
      <c r="V433" s="29">
        <f>IFERROR(U433/$P433,0)</f>
        <v>0</v>
      </c>
      <c r="W433" s="28">
        <f>W430+W432</f>
        <v>0</v>
      </c>
      <c r="X433" s="29">
        <f>IFERROR(W433/$P433,0)</f>
        <v>0</v>
      </c>
      <c r="Y433" s="28">
        <f>Y430+Y432</f>
        <v>5078</v>
      </c>
      <c r="Z433" s="28">
        <f>Z430+Z432</f>
        <v>5078</v>
      </c>
    </row>
    <row r="435" spans="1:26" ht="13.9" customHeight="1" x14ac:dyDescent="0.25">
      <c r="E435" s="52" t="s">
        <v>55</v>
      </c>
      <c r="F435" s="30" t="s">
        <v>149</v>
      </c>
      <c r="G435" s="53">
        <v>1694</v>
      </c>
      <c r="H435" s="53">
        <v>2296</v>
      </c>
      <c r="I435" s="53">
        <v>2296</v>
      </c>
      <c r="J435" s="53">
        <v>1221</v>
      </c>
      <c r="K435" s="53">
        <v>1220</v>
      </c>
      <c r="L435" s="53"/>
      <c r="M435" s="53"/>
      <c r="N435" s="53"/>
      <c r="O435" s="53"/>
      <c r="P435" s="53">
        <f>K435+SUM(L435:O435)</f>
        <v>1220</v>
      </c>
      <c r="Q435" s="53">
        <v>301.25</v>
      </c>
      <c r="R435" s="54">
        <f>IFERROR(Q435/$P435,0)</f>
        <v>0.24692622950819673</v>
      </c>
      <c r="S435" s="53"/>
      <c r="T435" s="54">
        <f>IFERROR(S435/$P435,0)</f>
        <v>0</v>
      </c>
      <c r="U435" s="53"/>
      <c r="V435" s="54">
        <f>IFERROR(U435/$P435,0)</f>
        <v>0</v>
      </c>
      <c r="W435" s="53"/>
      <c r="X435" s="55">
        <f>IFERROR(W435/$P435,0)</f>
        <v>0</v>
      </c>
      <c r="Y435" s="53">
        <f>K435</f>
        <v>1220</v>
      </c>
      <c r="Z435" s="56">
        <f>Y435</f>
        <v>1220</v>
      </c>
    </row>
    <row r="436" spans="1:26" ht="13.9" customHeight="1" x14ac:dyDescent="0.25">
      <c r="E436" s="57"/>
      <c r="F436" s="92" t="s">
        <v>249</v>
      </c>
      <c r="G436" s="95">
        <v>4500</v>
      </c>
      <c r="H436" s="95">
        <v>3000</v>
      </c>
      <c r="I436" s="95">
        <v>3000</v>
      </c>
      <c r="J436" s="95">
        <v>3000</v>
      </c>
      <c r="K436" s="95">
        <v>3000</v>
      </c>
      <c r="L436" s="95"/>
      <c r="M436" s="95"/>
      <c r="N436" s="95"/>
      <c r="O436" s="95"/>
      <c r="P436" s="95">
        <f>K436+SUM(L436:O436)</f>
        <v>3000</v>
      </c>
      <c r="Q436" s="95">
        <v>1500</v>
      </c>
      <c r="R436" s="96">
        <f>IFERROR(Q436/$P436,0)</f>
        <v>0.5</v>
      </c>
      <c r="S436" s="95"/>
      <c r="T436" s="96">
        <f>IFERROR(S436/$P436,0)</f>
        <v>0</v>
      </c>
      <c r="U436" s="95"/>
      <c r="V436" s="96">
        <f>IFERROR(U436/$P436,0)</f>
        <v>0</v>
      </c>
      <c r="W436" s="95"/>
      <c r="X436" s="60">
        <f>IFERROR(W436/$P436,0)</f>
        <v>0</v>
      </c>
      <c r="Y436" s="95">
        <f>K436</f>
        <v>3000</v>
      </c>
      <c r="Z436" s="61">
        <f>Y436</f>
        <v>3000</v>
      </c>
    </row>
    <row r="437" spans="1:26" ht="13.9" customHeight="1" x14ac:dyDescent="0.25">
      <c r="E437" s="65"/>
      <c r="F437" s="97" t="s">
        <v>250</v>
      </c>
      <c r="G437" s="67">
        <v>1386.06</v>
      </c>
      <c r="H437" s="67">
        <v>226.8</v>
      </c>
      <c r="I437" s="67">
        <v>300</v>
      </c>
      <c r="J437" s="67">
        <v>1950</v>
      </c>
      <c r="K437" s="67">
        <v>300</v>
      </c>
      <c r="L437" s="67"/>
      <c r="M437" s="67"/>
      <c r="N437" s="67"/>
      <c r="O437" s="67"/>
      <c r="P437" s="67">
        <f>K437+SUM(L437:O437)</f>
        <v>300</v>
      </c>
      <c r="Q437" s="67">
        <v>0</v>
      </c>
      <c r="R437" s="68">
        <f>IFERROR(Q437/$P437,0)</f>
        <v>0</v>
      </c>
      <c r="S437" s="67"/>
      <c r="T437" s="68">
        <f>IFERROR(S437/$P437,0)</f>
        <v>0</v>
      </c>
      <c r="U437" s="67"/>
      <c r="V437" s="68">
        <f>IFERROR(U437/$P437,0)</f>
        <v>0</v>
      </c>
      <c r="W437" s="67"/>
      <c r="X437" s="69">
        <f>IFERROR(W437/$P437,0)</f>
        <v>0</v>
      </c>
      <c r="Y437" s="67">
        <f>K437</f>
        <v>300</v>
      </c>
      <c r="Z437" s="70">
        <f>Y437</f>
        <v>300</v>
      </c>
    </row>
    <row r="439" spans="1:26" ht="13.9" customHeight="1" x14ac:dyDescent="0.25">
      <c r="D439" s="73" t="s">
        <v>251</v>
      </c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4"/>
      <c r="S439" s="73"/>
      <c r="T439" s="74"/>
      <c r="U439" s="73"/>
      <c r="V439" s="74"/>
      <c r="W439" s="73"/>
      <c r="X439" s="74"/>
      <c r="Y439" s="73"/>
      <c r="Z439" s="73"/>
    </row>
    <row r="440" spans="1:26" ht="13.9" customHeight="1" x14ac:dyDescent="0.25">
      <c r="D440" s="21" t="s">
        <v>32</v>
      </c>
      <c r="E440" s="21" t="s">
        <v>33</v>
      </c>
      <c r="F440" s="21" t="s">
        <v>34</v>
      </c>
      <c r="G440" s="21" t="s">
        <v>1</v>
      </c>
      <c r="H440" s="21" t="s">
        <v>2</v>
      </c>
      <c r="I440" s="21" t="s">
        <v>3</v>
      </c>
      <c r="J440" s="21" t="s">
        <v>4</v>
      </c>
      <c r="K440" s="21" t="s">
        <v>5</v>
      </c>
      <c r="L440" s="21" t="s">
        <v>6</v>
      </c>
      <c r="M440" s="21" t="s">
        <v>7</v>
      </c>
      <c r="N440" s="21" t="s">
        <v>8</v>
      </c>
      <c r="O440" s="21" t="s">
        <v>9</v>
      </c>
      <c r="P440" s="21" t="s">
        <v>123</v>
      </c>
      <c r="Q440" s="21" t="s">
        <v>11</v>
      </c>
      <c r="R440" s="22" t="s">
        <v>12</v>
      </c>
      <c r="S440" s="21" t="s">
        <v>13</v>
      </c>
      <c r="T440" s="22" t="s">
        <v>14</v>
      </c>
      <c r="U440" s="21" t="s">
        <v>15</v>
      </c>
      <c r="V440" s="22" t="s">
        <v>16</v>
      </c>
      <c r="W440" s="21" t="s">
        <v>17</v>
      </c>
      <c r="X440" s="22" t="s">
        <v>18</v>
      </c>
      <c r="Y440" s="21" t="s">
        <v>19</v>
      </c>
      <c r="Z440" s="21" t="s">
        <v>20</v>
      </c>
    </row>
    <row r="441" spans="1:26" ht="13.9" customHeight="1" x14ac:dyDescent="0.25">
      <c r="A441" s="15">
        <v>6</v>
      </c>
      <c r="B441" s="15">
        <v>3</v>
      </c>
      <c r="C441" s="15">
        <v>2</v>
      </c>
      <c r="D441" s="84" t="s">
        <v>248</v>
      </c>
      <c r="E441" s="24">
        <v>640</v>
      </c>
      <c r="F441" s="24" t="s">
        <v>134</v>
      </c>
      <c r="G441" s="25">
        <f>SUM(G445:G448)</f>
        <v>4200</v>
      </c>
      <c r="H441" s="25">
        <v>4400</v>
      </c>
      <c r="I441" s="25">
        <f>SUM(I445:I448)</f>
        <v>4700</v>
      </c>
      <c r="J441" s="25">
        <f>SUM(J445:J448)</f>
        <v>4850</v>
      </c>
      <c r="K441" s="25">
        <f>SUM(K445:K448)</f>
        <v>5850</v>
      </c>
      <c r="L441" s="25"/>
      <c r="M441" s="25"/>
      <c r="N441" s="25"/>
      <c r="O441" s="25"/>
      <c r="P441" s="25">
        <f>K441+SUM(L441:O441)</f>
        <v>5850</v>
      </c>
      <c r="Q441" s="25">
        <v>1500</v>
      </c>
      <c r="R441" s="26">
        <f>IFERROR(Q441/$P441,0)</f>
        <v>0.25641025641025639</v>
      </c>
      <c r="S441" s="25"/>
      <c r="T441" s="26">
        <f>IFERROR(S441/$P441,0)</f>
        <v>0</v>
      </c>
      <c r="U441" s="25"/>
      <c r="V441" s="26">
        <f>IFERROR(U441/$P441,0)</f>
        <v>0</v>
      </c>
      <c r="W441" s="25"/>
      <c r="X441" s="26">
        <f>IFERROR(W441/$P441,0)</f>
        <v>0</v>
      </c>
      <c r="Y441" s="25">
        <f>SUM(Y445:Y448)</f>
        <v>6150</v>
      </c>
      <c r="Z441" s="25">
        <f>SUM(Z445:Z448)</f>
        <v>6150</v>
      </c>
    </row>
    <row r="442" spans="1:26" ht="13.9" customHeight="1" x14ac:dyDescent="0.25">
      <c r="A442" s="15">
        <v>6</v>
      </c>
      <c r="B442" s="15">
        <v>3</v>
      </c>
      <c r="C442" s="15">
        <v>2</v>
      </c>
      <c r="D442" s="79" t="s">
        <v>21</v>
      </c>
      <c r="E442" s="48">
        <v>41</v>
      </c>
      <c r="F442" s="48" t="s">
        <v>23</v>
      </c>
      <c r="G442" s="49">
        <f t="shared" ref="G442:Q442" si="221">SUM(G441)</f>
        <v>4200</v>
      </c>
      <c r="H442" s="49">
        <f t="shared" si="221"/>
        <v>4400</v>
      </c>
      <c r="I442" s="49">
        <f t="shared" si="221"/>
        <v>4700</v>
      </c>
      <c r="J442" s="49">
        <f t="shared" si="221"/>
        <v>4850</v>
      </c>
      <c r="K442" s="49">
        <f t="shared" si="221"/>
        <v>5850</v>
      </c>
      <c r="L442" s="49">
        <f t="shared" si="221"/>
        <v>0</v>
      </c>
      <c r="M442" s="49">
        <f t="shared" si="221"/>
        <v>0</v>
      </c>
      <c r="N442" s="49">
        <f t="shared" si="221"/>
        <v>0</v>
      </c>
      <c r="O442" s="49">
        <f t="shared" si="221"/>
        <v>0</v>
      </c>
      <c r="P442" s="49">
        <f t="shared" si="221"/>
        <v>5850</v>
      </c>
      <c r="Q442" s="49">
        <f t="shared" si="221"/>
        <v>1500</v>
      </c>
      <c r="R442" s="50">
        <f>IFERROR(Q442/$P442,0)</f>
        <v>0.25641025641025639</v>
      </c>
      <c r="S442" s="49">
        <f>SUM(S441)</f>
        <v>0</v>
      </c>
      <c r="T442" s="50">
        <f>IFERROR(S442/$P442,0)</f>
        <v>0</v>
      </c>
      <c r="U442" s="49">
        <f>SUM(U441)</f>
        <v>0</v>
      </c>
      <c r="V442" s="50">
        <f>IFERROR(U442/$P442,0)</f>
        <v>0</v>
      </c>
      <c r="W442" s="49">
        <f>SUM(W441)</f>
        <v>0</v>
      </c>
      <c r="X442" s="50">
        <f>IFERROR(W442/$P442,0)</f>
        <v>0</v>
      </c>
      <c r="Y442" s="49">
        <f>SUM(Y441)</f>
        <v>6150</v>
      </c>
      <c r="Z442" s="49">
        <f>SUM(Z441)</f>
        <v>6150</v>
      </c>
    </row>
    <row r="443" spans="1:26" ht="13.9" customHeight="1" x14ac:dyDescent="0.25">
      <c r="A443" s="15">
        <v>6</v>
      </c>
      <c r="B443" s="15">
        <v>3</v>
      </c>
      <c r="C443" s="15">
        <v>2</v>
      </c>
      <c r="D443" s="86"/>
      <c r="E443" s="87"/>
      <c r="F443" s="27" t="s">
        <v>126</v>
      </c>
      <c r="G443" s="28">
        <f t="shared" ref="G443:Q443" si="222">G442</f>
        <v>4200</v>
      </c>
      <c r="H443" s="28">
        <f t="shared" si="222"/>
        <v>4400</v>
      </c>
      <c r="I443" s="28">
        <f t="shared" si="222"/>
        <v>4700</v>
      </c>
      <c r="J443" s="28">
        <f t="shared" si="222"/>
        <v>4850</v>
      </c>
      <c r="K443" s="28">
        <f t="shared" si="222"/>
        <v>5850</v>
      </c>
      <c r="L443" s="28">
        <f t="shared" si="222"/>
        <v>0</v>
      </c>
      <c r="M443" s="28">
        <f t="shared" si="222"/>
        <v>0</v>
      </c>
      <c r="N443" s="28">
        <f t="shared" si="222"/>
        <v>0</v>
      </c>
      <c r="O443" s="28">
        <f t="shared" si="222"/>
        <v>0</v>
      </c>
      <c r="P443" s="28">
        <f t="shared" si="222"/>
        <v>5850</v>
      </c>
      <c r="Q443" s="28">
        <f t="shared" si="222"/>
        <v>1500</v>
      </c>
      <c r="R443" s="29">
        <f>IFERROR(Q443/$P443,0)</f>
        <v>0.25641025641025639</v>
      </c>
      <c r="S443" s="28">
        <f>S442</f>
        <v>0</v>
      </c>
      <c r="T443" s="29">
        <f>IFERROR(S443/$P443,0)</f>
        <v>0</v>
      </c>
      <c r="U443" s="28">
        <f>U442</f>
        <v>0</v>
      </c>
      <c r="V443" s="29">
        <f>IFERROR(U443/$P443,0)</f>
        <v>0</v>
      </c>
      <c r="W443" s="28">
        <f>W442</f>
        <v>0</v>
      </c>
      <c r="X443" s="29">
        <f>IFERROR(W443/$P443,0)</f>
        <v>0</v>
      </c>
      <c r="Y443" s="28">
        <f>Y442</f>
        <v>6150</v>
      </c>
      <c r="Z443" s="28">
        <f>Z442</f>
        <v>6150</v>
      </c>
    </row>
    <row r="445" spans="1:26" ht="13.9" customHeight="1" x14ac:dyDescent="0.25">
      <c r="E445" s="52" t="s">
        <v>55</v>
      </c>
      <c r="F445" s="30" t="s">
        <v>252</v>
      </c>
      <c r="G445" s="53">
        <v>1100</v>
      </c>
      <c r="H445" s="53">
        <v>1200</v>
      </c>
      <c r="I445" s="53">
        <v>1200</v>
      </c>
      <c r="J445" s="53">
        <v>1200</v>
      </c>
      <c r="K445" s="118">
        <v>1700</v>
      </c>
      <c r="L445" s="53"/>
      <c r="M445" s="53"/>
      <c r="N445" s="53"/>
      <c r="O445" s="53"/>
      <c r="P445" s="53">
        <f>K445+SUM(L445:O445)</f>
        <v>1700</v>
      </c>
      <c r="Q445" s="53">
        <v>1500</v>
      </c>
      <c r="R445" s="54">
        <f>IFERROR(Q445/$P445,0)</f>
        <v>0.88235294117647056</v>
      </c>
      <c r="S445" s="53"/>
      <c r="T445" s="54">
        <f>IFERROR(S445/$P445,0)</f>
        <v>0</v>
      </c>
      <c r="U445" s="53"/>
      <c r="V445" s="54">
        <f>IFERROR(U445/$P445,0)</f>
        <v>0</v>
      </c>
      <c r="W445" s="53"/>
      <c r="X445" s="55">
        <f>IFERROR(W445/$P445,0)</f>
        <v>0</v>
      </c>
      <c r="Y445" s="53">
        <v>2000</v>
      </c>
      <c r="Z445" s="56">
        <f>Y445</f>
        <v>2000</v>
      </c>
    </row>
    <row r="446" spans="1:26" ht="13.9" customHeight="1" x14ac:dyDescent="0.25">
      <c r="E446" s="57"/>
      <c r="F446" s="58" t="s">
        <v>253</v>
      </c>
      <c r="G446" s="59">
        <v>2000</v>
      </c>
      <c r="H446" s="59">
        <v>2000</v>
      </c>
      <c r="I446" s="59">
        <v>2000</v>
      </c>
      <c r="J446" s="59">
        <v>2000</v>
      </c>
      <c r="K446" s="62">
        <v>2000</v>
      </c>
      <c r="L446" s="59"/>
      <c r="M446" s="59"/>
      <c r="N446" s="59"/>
      <c r="O446" s="59"/>
      <c r="P446" s="59">
        <f>K446+SUM(L446:O446)</f>
        <v>2000</v>
      </c>
      <c r="Q446" s="59">
        <v>0</v>
      </c>
      <c r="R446" s="16">
        <f>IFERROR(Q446/$P446,0)</f>
        <v>0</v>
      </c>
      <c r="S446" s="59"/>
      <c r="T446" s="16">
        <f>IFERROR(S446/$P446,0)</f>
        <v>0</v>
      </c>
      <c r="U446" s="59"/>
      <c r="V446" s="16">
        <f>IFERROR(U446/$P446,0)</f>
        <v>0</v>
      </c>
      <c r="W446" s="59"/>
      <c r="X446" s="60">
        <f>IFERROR(W446/$P446,0)</f>
        <v>0</v>
      </c>
      <c r="Y446" s="59">
        <f>K446</f>
        <v>2000</v>
      </c>
      <c r="Z446" s="61">
        <f>Y446</f>
        <v>2000</v>
      </c>
    </row>
    <row r="447" spans="1:26" ht="13.9" customHeight="1" x14ac:dyDescent="0.25">
      <c r="E447" s="57"/>
      <c r="F447" s="143" t="s">
        <v>254</v>
      </c>
      <c r="G447" s="95">
        <v>1100</v>
      </c>
      <c r="H447" s="95">
        <v>1200</v>
      </c>
      <c r="I447" s="95">
        <v>1500</v>
      </c>
      <c r="J447" s="95">
        <v>1500</v>
      </c>
      <c r="K447" s="93">
        <v>2000</v>
      </c>
      <c r="L447" s="95"/>
      <c r="M447" s="95"/>
      <c r="N447" s="95"/>
      <c r="O447" s="95"/>
      <c r="P447" s="95">
        <f>K447+SUM(L447:O447)</f>
        <v>2000</v>
      </c>
      <c r="Q447" s="95">
        <v>0</v>
      </c>
      <c r="R447" s="96">
        <f>IFERROR(Q447/$P447,0)</f>
        <v>0</v>
      </c>
      <c r="S447" s="95"/>
      <c r="T447" s="96">
        <f>IFERROR(S447/$P447,0)</f>
        <v>0</v>
      </c>
      <c r="U447" s="95"/>
      <c r="V447" s="96">
        <f>IFERROR(U447/$P447,0)</f>
        <v>0</v>
      </c>
      <c r="W447" s="95"/>
      <c r="X447" s="60">
        <f>IFERROR(W447/$P447,0)</f>
        <v>0</v>
      </c>
      <c r="Y447" s="95">
        <f>K447</f>
        <v>2000</v>
      </c>
      <c r="Z447" s="61">
        <f>Y447</f>
        <v>2000</v>
      </c>
    </row>
    <row r="448" spans="1:26" ht="13.9" customHeight="1" x14ac:dyDescent="0.25">
      <c r="E448" s="65"/>
      <c r="F448" s="66" t="s">
        <v>255</v>
      </c>
      <c r="G448" s="67"/>
      <c r="H448" s="67"/>
      <c r="I448" s="120"/>
      <c r="J448" s="67">
        <v>150</v>
      </c>
      <c r="K448" s="120">
        <v>150</v>
      </c>
      <c r="L448" s="67"/>
      <c r="M448" s="67"/>
      <c r="N448" s="67"/>
      <c r="O448" s="67"/>
      <c r="P448" s="67">
        <f>K448+SUM(L448:O448)</f>
        <v>150</v>
      </c>
      <c r="Q448" s="67">
        <v>0</v>
      </c>
      <c r="R448" s="68">
        <f>IFERROR(Q448/$P448,0)</f>
        <v>0</v>
      </c>
      <c r="S448" s="67"/>
      <c r="T448" s="68">
        <f>IFERROR(S448/$P448,0)</f>
        <v>0</v>
      </c>
      <c r="U448" s="67"/>
      <c r="V448" s="68">
        <f>IFERROR(U448/$P448,0)</f>
        <v>0</v>
      </c>
      <c r="W448" s="67"/>
      <c r="X448" s="69">
        <f>IFERROR(W448/$P448,0)</f>
        <v>0</v>
      </c>
      <c r="Y448" s="67">
        <f>K448</f>
        <v>150</v>
      </c>
      <c r="Z448" s="70">
        <f>Y448</f>
        <v>150</v>
      </c>
    </row>
    <row r="450" spans="1:26" ht="13.9" customHeight="1" x14ac:dyDescent="0.25">
      <c r="D450" s="32" t="s">
        <v>256</v>
      </c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3"/>
      <c r="S450" s="32"/>
      <c r="T450" s="33"/>
      <c r="U450" s="32"/>
      <c r="V450" s="33"/>
      <c r="W450" s="32"/>
      <c r="X450" s="33"/>
      <c r="Y450" s="32"/>
      <c r="Z450" s="32"/>
    </row>
    <row r="451" spans="1:26" ht="13.9" customHeight="1" x14ac:dyDescent="0.25">
      <c r="D451" s="20"/>
      <c r="E451" s="20"/>
      <c r="F451" s="20"/>
      <c r="G451" s="21" t="s">
        <v>1</v>
      </c>
      <c r="H451" s="21" t="s">
        <v>2</v>
      </c>
      <c r="I451" s="21" t="s">
        <v>3</v>
      </c>
      <c r="J451" s="21" t="s">
        <v>4</v>
      </c>
      <c r="K451" s="21" t="s">
        <v>5</v>
      </c>
      <c r="L451" s="21" t="s">
        <v>6</v>
      </c>
      <c r="M451" s="21" t="s">
        <v>7</v>
      </c>
      <c r="N451" s="21" t="s">
        <v>8</v>
      </c>
      <c r="O451" s="21" t="s">
        <v>9</v>
      </c>
      <c r="P451" s="21" t="s">
        <v>123</v>
      </c>
      <c r="Q451" s="21" t="s">
        <v>11</v>
      </c>
      <c r="R451" s="22" t="s">
        <v>12</v>
      </c>
      <c r="S451" s="21" t="s">
        <v>13</v>
      </c>
      <c r="T451" s="22" t="s">
        <v>14</v>
      </c>
      <c r="U451" s="21" t="s">
        <v>15</v>
      </c>
      <c r="V451" s="22" t="s">
        <v>16</v>
      </c>
      <c r="W451" s="21" t="s">
        <v>17</v>
      </c>
      <c r="X451" s="22" t="s">
        <v>18</v>
      </c>
      <c r="Y451" s="21" t="s">
        <v>19</v>
      </c>
      <c r="Z451" s="21" t="s">
        <v>20</v>
      </c>
    </row>
    <row r="452" spans="1:26" ht="13.9" customHeight="1" x14ac:dyDescent="0.25">
      <c r="A452" s="15">
        <v>7</v>
      </c>
      <c r="D452" s="12" t="s">
        <v>21</v>
      </c>
      <c r="E452" s="35">
        <v>111</v>
      </c>
      <c r="F452" s="35" t="s">
        <v>45</v>
      </c>
      <c r="G452" s="36">
        <f t="shared" ref="G452:Q452" si="223">G459+G505</f>
        <v>115462.17</v>
      </c>
      <c r="H452" s="36">
        <f t="shared" si="223"/>
        <v>119480.9</v>
      </c>
      <c r="I452" s="36">
        <f t="shared" si="223"/>
        <v>65581</v>
      </c>
      <c r="J452" s="36">
        <f t="shared" si="223"/>
        <v>127733</v>
      </c>
      <c r="K452" s="36">
        <f t="shared" si="223"/>
        <v>76134</v>
      </c>
      <c r="L452" s="36">
        <f t="shared" si="223"/>
        <v>15414</v>
      </c>
      <c r="M452" s="36">
        <f t="shared" si="223"/>
        <v>0</v>
      </c>
      <c r="N452" s="36">
        <f t="shared" si="223"/>
        <v>0</v>
      </c>
      <c r="O452" s="36">
        <f t="shared" si="223"/>
        <v>0</v>
      </c>
      <c r="P452" s="36">
        <f t="shared" si="223"/>
        <v>91548</v>
      </c>
      <c r="Q452" s="36">
        <f t="shared" si="223"/>
        <v>33053.1</v>
      </c>
      <c r="R452" s="37">
        <f>IFERROR(Q452/$P452,0)</f>
        <v>0.36104666404509106</v>
      </c>
      <c r="S452" s="36">
        <f>S459+S505</f>
        <v>0</v>
      </c>
      <c r="T452" s="37">
        <f>IFERROR(S452/$P452,0)</f>
        <v>0</v>
      </c>
      <c r="U452" s="36">
        <f>U459+U505</f>
        <v>0</v>
      </c>
      <c r="V452" s="37">
        <f>IFERROR(U452/$P452,0)</f>
        <v>0</v>
      </c>
      <c r="W452" s="36">
        <f>W459+W505</f>
        <v>0</v>
      </c>
      <c r="X452" s="37">
        <f>IFERROR(W452/$P452,0)</f>
        <v>0</v>
      </c>
      <c r="Y452" s="36">
        <f>Y459+Y505</f>
        <v>76134</v>
      </c>
      <c r="Z452" s="36">
        <f>Z459+Z505</f>
        <v>76134</v>
      </c>
    </row>
    <row r="453" spans="1:26" ht="13.9" customHeight="1" x14ac:dyDescent="0.25">
      <c r="A453" s="15">
        <v>7</v>
      </c>
      <c r="D453" s="12"/>
      <c r="E453" s="35">
        <v>41</v>
      </c>
      <c r="F453" s="35" t="s">
        <v>23</v>
      </c>
      <c r="G453" s="36">
        <f t="shared" ref="G453:Q453" si="224">G460+G507</f>
        <v>99582.87999999999</v>
      </c>
      <c r="H453" s="36">
        <f t="shared" si="224"/>
        <v>116506.71</v>
      </c>
      <c r="I453" s="36">
        <f t="shared" si="224"/>
        <v>122869</v>
      </c>
      <c r="J453" s="36">
        <f t="shared" si="224"/>
        <v>107300</v>
      </c>
      <c r="K453" s="36">
        <f t="shared" si="224"/>
        <v>126124</v>
      </c>
      <c r="L453" s="36">
        <f t="shared" si="224"/>
        <v>0</v>
      </c>
      <c r="M453" s="36">
        <f t="shared" si="224"/>
        <v>0</v>
      </c>
      <c r="N453" s="36">
        <f t="shared" si="224"/>
        <v>0</v>
      </c>
      <c r="O453" s="36">
        <f t="shared" si="224"/>
        <v>0</v>
      </c>
      <c r="P453" s="36">
        <f t="shared" si="224"/>
        <v>126124</v>
      </c>
      <c r="Q453" s="36">
        <f t="shared" si="224"/>
        <v>18914.810000000001</v>
      </c>
      <c r="R453" s="37">
        <f>IFERROR(Q453/$P453,0)</f>
        <v>0.14996995020773207</v>
      </c>
      <c r="S453" s="36">
        <f>S460+S507</f>
        <v>0</v>
      </c>
      <c r="T453" s="37">
        <f>IFERROR(S453/$P453,0)</f>
        <v>0</v>
      </c>
      <c r="U453" s="36">
        <f>U460+U507</f>
        <v>0</v>
      </c>
      <c r="V453" s="37">
        <f>IFERROR(U453/$P453,0)</f>
        <v>0</v>
      </c>
      <c r="W453" s="36">
        <f>W460+W507</f>
        <v>0</v>
      </c>
      <c r="X453" s="37">
        <f>IFERROR(W453/$P453,0)</f>
        <v>0</v>
      </c>
      <c r="Y453" s="36">
        <f>Y460+Y507</f>
        <v>128109</v>
      </c>
      <c r="Z453" s="36">
        <f>Z460+Z507</f>
        <v>130889</v>
      </c>
    </row>
    <row r="454" spans="1:26" ht="13.9" customHeight="1" x14ac:dyDescent="0.25">
      <c r="A454" s="15">
        <v>7</v>
      </c>
      <c r="D454" s="12"/>
      <c r="E454" s="35">
        <v>72</v>
      </c>
      <c r="F454" s="35" t="s">
        <v>25</v>
      </c>
      <c r="G454" s="36">
        <f t="shared" ref="G454:Q454" si="225">G461</f>
        <v>1221.0899999999999</v>
      </c>
      <c r="H454" s="36">
        <f t="shared" si="225"/>
        <v>1166.6600000000001</v>
      </c>
      <c r="I454" s="36">
        <f t="shared" si="225"/>
        <v>1085</v>
      </c>
      <c r="J454" s="36">
        <f t="shared" si="225"/>
        <v>953</v>
      </c>
      <c r="K454" s="36">
        <f t="shared" si="225"/>
        <v>1359</v>
      </c>
      <c r="L454" s="36">
        <f t="shared" si="225"/>
        <v>0</v>
      </c>
      <c r="M454" s="36">
        <f t="shared" si="225"/>
        <v>0</v>
      </c>
      <c r="N454" s="36">
        <f t="shared" si="225"/>
        <v>0</v>
      </c>
      <c r="O454" s="36">
        <f t="shared" si="225"/>
        <v>0</v>
      </c>
      <c r="P454" s="36">
        <f t="shared" si="225"/>
        <v>1359</v>
      </c>
      <c r="Q454" s="36">
        <f t="shared" si="225"/>
        <v>0</v>
      </c>
      <c r="R454" s="37">
        <f>IFERROR(Q454/$P454,0)</f>
        <v>0</v>
      </c>
      <c r="S454" s="36">
        <f>S461</f>
        <v>0</v>
      </c>
      <c r="T454" s="37">
        <f>IFERROR(S454/$P454,0)</f>
        <v>0</v>
      </c>
      <c r="U454" s="36">
        <f>U461</f>
        <v>0</v>
      </c>
      <c r="V454" s="37">
        <f>IFERROR(U454/$P454,0)</f>
        <v>0</v>
      </c>
      <c r="W454" s="36">
        <f>W461</f>
        <v>0</v>
      </c>
      <c r="X454" s="37">
        <f>IFERROR(W454/$P454,0)</f>
        <v>0</v>
      </c>
      <c r="Y454" s="36">
        <f>Y461</f>
        <v>1432</v>
      </c>
      <c r="Z454" s="36">
        <f>Z461</f>
        <v>1432</v>
      </c>
    </row>
    <row r="455" spans="1:26" ht="13.9" customHeight="1" x14ac:dyDescent="0.25">
      <c r="A455" s="15">
        <v>7</v>
      </c>
      <c r="D455" s="30"/>
      <c r="E455" s="31"/>
      <c r="F455" s="38" t="s">
        <v>126</v>
      </c>
      <c r="G455" s="39">
        <f t="shared" ref="G455:Q455" si="226">SUM(G452:G454)</f>
        <v>216266.13999999998</v>
      </c>
      <c r="H455" s="39">
        <f t="shared" si="226"/>
        <v>237154.27</v>
      </c>
      <c r="I455" s="39">
        <f t="shared" si="226"/>
        <v>189535</v>
      </c>
      <c r="J455" s="39">
        <f t="shared" si="226"/>
        <v>235986</v>
      </c>
      <c r="K455" s="39">
        <f t="shared" si="226"/>
        <v>203617</v>
      </c>
      <c r="L455" s="39">
        <f t="shared" si="226"/>
        <v>15414</v>
      </c>
      <c r="M455" s="39">
        <f t="shared" si="226"/>
        <v>0</v>
      </c>
      <c r="N455" s="39">
        <f t="shared" si="226"/>
        <v>0</v>
      </c>
      <c r="O455" s="39">
        <f t="shared" si="226"/>
        <v>0</v>
      </c>
      <c r="P455" s="39">
        <f t="shared" si="226"/>
        <v>219031</v>
      </c>
      <c r="Q455" s="39">
        <f t="shared" si="226"/>
        <v>51967.91</v>
      </c>
      <c r="R455" s="40">
        <f>IFERROR(Q455/$P455,0)</f>
        <v>0.23726280754779006</v>
      </c>
      <c r="S455" s="39">
        <f>SUM(S452:S454)</f>
        <v>0</v>
      </c>
      <c r="T455" s="40">
        <f>IFERROR(S455/$P455,0)</f>
        <v>0</v>
      </c>
      <c r="U455" s="39">
        <f>SUM(U452:U454)</f>
        <v>0</v>
      </c>
      <c r="V455" s="40">
        <f>IFERROR(U455/$P455,0)</f>
        <v>0</v>
      </c>
      <c r="W455" s="39">
        <f>SUM(W452:W454)</f>
        <v>0</v>
      </c>
      <c r="X455" s="40">
        <f>IFERROR(W455/$P455,0)</f>
        <v>0</v>
      </c>
      <c r="Y455" s="39">
        <f>SUM(Y452:Y454)</f>
        <v>205675</v>
      </c>
      <c r="Z455" s="39">
        <f>SUM(Z452:Z454)</f>
        <v>208455</v>
      </c>
    </row>
    <row r="457" spans="1:26" ht="13.9" customHeight="1" x14ac:dyDescent="0.25">
      <c r="D457" s="41" t="s">
        <v>257</v>
      </c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2"/>
      <c r="S457" s="41"/>
      <c r="T457" s="42"/>
      <c r="U457" s="41"/>
      <c r="V457" s="42"/>
      <c r="W457" s="41"/>
      <c r="X457" s="42"/>
      <c r="Y457" s="41"/>
      <c r="Z457" s="41"/>
    </row>
    <row r="458" spans="1:26" ht="13.9" customHeight="1" x14ac:dyDescent="0.25">
      <c r="D458" s="128"/>
      <c r="E458" s="128"/>
      <c r="F458" s="128"/>
      <c r="G458" s="21" t="s">
        <v>1</v>
      </c>
      <c r="H458" s="21" t="s">
        <v>2</v>
      </c>
      <c r="I458" s="21" t="s">
        <v>3</v>
      </c>
      <c r="J458" s="21" t="s">
        <v>4</v>
      </c>
      <c r="K458" s="21" t="s">
        <v>5</v>
      </c>
      <c r="L458" s="21" t="s">
        <v>6</v>
      </c>
      <c r="M458" s="21" t="s">
        <v>7</v>
      </c>
      <c r="N458" s="21" t="s">
        <v>8</v>
      </c>
      <c r="O458" s="21" t="s">
        <v>9</v>
      </c>
      <c r="P458" s="21" t="s">
        <v>123</v>
      </c>
      <c r="Q458" s="21" t="s">
        <v>11</v>
      </c>
      <c r="R458" s="22" t="s">
        <v>12</v>
      </c>
      <c r="S458" s="21" t="s">
        <v>13</v>
      </c>
      <c r="T458" s="22" t="s">
        <v>14</v>
      </c>
      <c r="U458" s="21" t="s">
        <v>15</v>
      </c>
      <c r="V458" s="22" t="s">
        <v>16</v>
      </c>
      <c r="W458" s="21" t="s">
        <v>17</v>
      </c>
      <c r="X458" s="22" t="s">
        <v>18</v>
      </c>
      <c r="Y458" s="21" t="s">
        <v>19</v>
      </c>
      <c r="Z458" s="21" t="s">
        <v>20</v>
      </c>
    </row>
    <row r="459" spans="1:26" ht="13.9" customHeight="1" x14ac:dyDescent="0.25">
      <c r="A459" s="15">
        <v>7</v>
      </c>
      <c r="B459" s="15">
        <v>1</v>
      </c>
      <c r="D459" s="13" t="s">
        <v>21</v>
      </c>
      <c r="E459" s="24">
        <v>111</v>
      </c>
      <c r="F459" s="24" t="s">
        <v>45</v>
      </c>
      <c r="G459" s="25">
        <f t="shared" ref="G459:Q459" si="227">G469</f>
        <v>53712</v>
      </c>
      <c r="H459" s="25">
        <f t="shared" si="227"/>
        <v>62573.7</v>
      </c>
      <c r="I459" s="25">
        <f t="shared" si="227"/>
        <v>58701</v>
      </c>
      <c r="J459" s="25">
        <f t="shared" si="227"/>
        <v>57174</v>
      </c>
      <c r="K459" s="25">
        <f t="shared" si="227"/>
        <v>72534</v>
      </c>
      <c r="L459" s="25">
        <f t="shared" si="227"/>
        <v>0</v>
      </c>
      <c r="M459" s="25">
        <f t="shared" si="227"/>
        <v>0</v>
      </c>
      <c r="N459" s="25">
        <f t="shared" si="227"/>
        <v>0</v>
      </c>
      <c r="O459" s="25">
        <f t="shared" si="227"/>
        <v>0</v>
      </c>
      <c r="P459" s="25">
        <f t="shared" si="227"/>
        <v>72534</v>
      </c>
      <c r="Q459" s="25">
        <f t="shared" si="227"/>
        <v>17621.599999999999</v>
      </c>
      <c r="R459" s="26">
        <f>IFERROR(Q459/$P459,0)</f>
        <v>0.24294262001268369</v>
      </c>
      <c r="S459" s="25">
        <f>S469</f>
        <v>0</v>
      </c>
      <c r="T459" s="26">
        <f>IFERROR(S459/$P459,0)</f>
        <v>0</v>
      </c>
      <c r="U459" s="25">
        <f>U469</f>
        <v>0</v>
      </c>
      <c r="V459" s="26">
        <f>IFERROR(U459/$P459,0)</f>
        <v>0</v>
      </c>
      <c r="W459" s="25">
        <f>W469</f>
        <v>0</v>
      </c>
      <c r="X459" s="26">
        <f>IFERROR(W459/$P459,0)</f>
        <v>0</v>
      </c>
      <c r="Y459" s="25">
        <f>Y469</f>
        <v>72534</v>
      </c>
      <c r="Z459" s="25">
        <f>Z469</f>
        <v>72534</v>
      </c>
    </row>
    <row r="460" spans="1:26" ht="13.9" customHeight="1" x14ac:dyDescent="0.25">
      <c r="A460" s="15">
        <v>7</v>
      </c>
      <c r="B460" s="15">
        <v>1</v>
      </c>
      <c r="D460" s="13"/>
      <c r="E460" s="24">
        <v>41</v>
      </c>
      <c r="F460" s="24" t="s">
        <v>23</v>
      </c>
      <c r="G460" s="25">
        <f t="shared" ref="G460:Q460" si="228">G474+G491</f>
        <v>95982.87999999999</v>
      </c>
      <c r="H460" s="25">
        <f t="shared" si="228"/>
        <v>114706.71</v>
      </c>
      <c r="I460" s="25">
        <f t="shared" si="228"/>
        <v>119869</v>
      </c>
      <c r="J460" s="25">
        <f t="shared" si="228"/>
        <v>104200</v>
      </c>
      <c r="K460" s="25">
        <f t="shared" si="228"/>
        <v>123124</v>
      </c>
      <c r="L460" s="25">
        <f t="shared" si="228"/>
        <v>0</v>
      </c>
      <c r="M460" s="25">
        <f t="shared" si="228"/>
        <v>0</v>
      </c>
      <c r="N460" s="25">
        <f t="shared" si="228"/>
        <v>0</v>
      </c>
      <c r="O460" s="25">
        <f t="shared" si="228"/>
        <v>0</v>
      </c>
      <c r="P460" s="25">
        <f t="shared" si="228"/>
        <v>123124</v>
      </c>
      <c r="Q460" s="25">
        <f t="shared" si="228"/>
        <v>18814.810000000001</v>
      </c>
      <c r="R460" s="26">
        <f>IFERROR(Q460/$P460,0)</f>
        <v>0.15281188070563012</v>
      </c>
      <c r="S460" s="25">
        <f>S474+S491</f>
        <v>0</v>
      </c>
      <c r="T460" s="26">
        <f>IFERROR(S460/$P460,0)</f>
        <v>0</v>
      </c>
      <c r="U460" s="25">
        <f>U474+U491</f>
        <v>0</v>
      </c>
      <c r="V460" s="26">
        <f>IFERROR(U460/$P460,0)</f>
        <v>0</v>
      </c>
      <c r="W460" s="25">
        <f>W474+W491</f>
        <v>0</v>
      </c>
      <c r="X460" s="26">
        <f>IFERROR(W460/$P460,0)</f>
        <v>0</v>
      </c>
      <c r="Y460" s="25">
        <f>Y474+Y491</f>
        <v>125109</v>
      </c>
      <c r="Z460" s="25">
        <f>Z474+Z491</f>
        <v>127889</v>
      </c>
    </row>
    <row r="461" spans="1:26" ht="13.9" customHeight="1" x14ac:dyDescent="0.25">
      <c r="A461" s="15">
        <v>7</v>
      </c>
      <c r="B461" s="15">
        <v>1</v>
      </c>
      <c r="D461" s="13"/>
      <c r="E461" s="24">
        <v>72</v>
      </c>
      <c r="F461" s="24" t="s">
        <v>25</v>
      </c>
      <c r="G461" s="25">
        <f t="shared" ref="G461:Q461" si="229">G476+G493</f>
        <v>1221.0899999999999</v>
      </c>
      <c r="H461" s="25">
        <f t="shared" si="229"/>
        <v>1166.6600000000001</v>
      </c>
      <c r="I461" s="25">
        <f t="shared" si="229"/>
        <v>1085</v>
      </c>
      <c r="J461" s="25">
        <f t="shared" si="229"/>
        <v>953</v>
      </c>
      <c r="K461" s="25">
        <f t="shared" si="229"/>
        <v>1359</v>
      </c>
      <c r="L461" s="25">
        <f t="shared" si="229"/>
        <v>0</v>
      </c>
      <c r="M461" s="25">
        <f t="shared" si="229"/>
        <v>0</v>
      </c>
      <c r="N461" s="25">
        <f t="shared" si="229"/>
        <v>0</v>
      </c>
      <c r="O461" s="25">
        <f t="shared" si="229"/>
        <v>0</v>
      </c>
      <c r="P461" s="25">
        <f t="shared" si="229"/>
        <v>1359</v>
      </c>
      <c r="Q461" s="25">
        <f t="shared" si="229"/>
        <v>0</v>
      </c>
      <c r="R461" s="26">
        <f>IFERROR(Q461/$P461,0)</f>
        <v>0</v>
      </c>
      <c r="S461" s="25">
        <f>S476+S493</f>
        <v>0</v>
      </c>
      <c r="T461" s="26">
        <f>IFERROR(S461/$P461,0)</f>
        <v>0</v>
      </c>
      <c r="U461" s="25">
        <f>U476+U493</f>
        <v>0</v>
      </c>
      <c r="V461" s="26">
        <f>IFERROR(U461/$P461,0)</f>
        <v>0</v>
      </c>
      <c r="W461" s="25">
        <f>W476+W493</f>
        <v>0</v>
      </c>
      <c r="X461" s="26">
        <f>IFERROR(W461/$P461,0)</f>
        <v>0</v>
      </c>
      <c r="Y461" s="25">
        <f>Y476+Y493</f>
        <v>1432</v>
      </c>
      <c r="Z461" s="25">
        <f>Z476+Z493</f>
        <v>1432</v>
      </c>
    </row>
    <row r="462" spans="1:26" ht="13.9" customHeight="1" x14ac:dyDescent="0.25">
      <c r="A462" s="15">
        <v>7</v>
      </c>
      <c r="B462" s="15">
        <v>1</v>
      </c>
      <c r="D462" s="30"/>
      <c r="E462" s="31"/>
      <c r="F462" s="27" t="s">
        <v>126</v>
      </c>
      <c r="G462" s="28">
        <f t="shared" ref="G462:Q462" si="230">SUM(G459:G461)</f>
        <v>150915.97</v>
      </c>
      <c r="H462" s="28">
        <f t="shared" si="230"/>
        <v>178447.07</v>
      </c>
      <c r="I462" s="28">
        <f t="shared" si="230"/>
        <v>179655</v>
      </c>
      <c r="J462" s="28">
        <f t="shared" si="230"/>
        <v>162327</v>
      </c>
      <c r="K462" s="28">
        <f t="shared" si="230"/>
        <v>197017</v>
      </c>
      <c r="L462" s="28">
        <f t="shared" si="230"/>
        <v>0</v>
      </c>
      <c r="M462" s="28">
        <f t="shared" si="230"/>
        <v>0</v>
      </c>
      <c r="N462" s="28">
        <f t="shared" si="230"/>
        <v>0</v>
      </c>
      <c r="O462" s="28">
        <f t="shared" si="230"/>
        <v>0</v>
      </c>
      <c r="P462" s="28">
        <f t="shared" si="230"/>
        <v>197017</v>
      </c>
      <c r="Q462" s="28">
        <f t="shared" si="230"/>
        <v>36436.410000000003</v>
      </c>
      <c r="R462" s="29">
        <f>IFERROR(Q462/$P462,0)</f>
        <v>0.18494043661206902</v>
      </c>
      <c r="S462" s="28">
        <f>SUM(S459:S461)</f>
        <v>0</v>
      </c>
      <c r="T462" s="29">
        <f>IFERROR(S462/$P462,0)</f>
        <v>0</v>
      </c>
      <c r="U462" s="28">
        <f>SUM(U459:U461)</f>
        <v>0</v>
      </c>
      <c r="V462" s="29">
        <f>IFERROR(U462/$P462,0)</f>
        <v>0</v>
      </c>
      <c r="W462" s="28">
        <f>SUM(W459:W461)</f>
        <v>0</v>
      </c>
      <c r="X462" s="29">
        <f>IFERROR(W462/$P462,0)</f>
        <v>0</v>
      </c>
      <c r="Y462" s="28">
        <f>SUM(Y459:Y461)</f>
        <v>199075</v>
      </c>
      <c r="Z462" s="28">
        <f>SUM(Z459:Z461)</f>
        <v>201855</v>
      </c>
    </row>
    <row r="464" spans="1:26" ht="13.9" customHeight="1" x14ac:dyDescent="0.25">
      <c r="D464" s="73" t="s">
        <v>258</v>
      </c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4"/>
      <c r="S464" s="73"/>
      <c r="T464" s="74"/>
      <c r="U464" s="73"/>
      <c r="V464" s="74"/>
      <c r="W464" s="73"/>
      <c r="X464" s="74"/>
      <c r="Y464" s="73"/>
      <c r="Z464" s="73"/>
    </row>
    <row r="465" spans="1:26" ht="13.9" customHeight="1" x14ac:dyDescent="0.25">
      <c r="D465" s="21" t="s">
        <v>32</v>
      </c>
      <c r="E465" s="21" t="s">
        <v>33</v>
      </c>
      <c r="F465" s="21" t="s">
        <v>34</v>
      </c>
      <c r="G465" s="21" t="s">
        <v>1</v>
      </c>
      <c r="H465" s="21" t="s">
        <v>2</v>
      </c>
      <c r="I465" s="21" t="s">
        <v>3</v>
      </c>
      <c r="J465" s="21" t="s">
        <v>4</v>
      </c>
      <c r="K465" s="21" t="s">
        <v>5</v>
      </c>
      <c r="L465" s="21" t="s">
        <v>6</v>
      </c>
      <c r="M465" s="21" t="s">
        <v>7</v>
      </c>
      <c r="N465" s="21" t="s">
        <v>8</v>
      </c>
      <c r="O465" s="21" t="s">
        <v>9</v>
      </c>
      <c r="P465" s="21" t="s">
        <v>123</v>
      </c>
      <c r="Q465" s="21" t="s">
        <v>11</v>
      </c>
      <c r="R465" s="22" t="s">
        <v>12</v>
      </c>
      <c r="S465" s="21" t="s">
        <v>13</v>
      </c>
      <c r="T465" s="22" t="s">
        <v>14</v>
      </c>
      <c r="U465" s="21" t="s">
        <v>15</v>
      </c>
      <c r="V465" s="22" t="s">
        <v>16</v>
      </c>
      <c r="W465" s="21" t="s">
        <v>17</v>
      </c>
      <c r="X465" s="22" t="s">
        <v>18</v>
      </c>
      <c r="Y465" s="21" t="s">
        <v>19</v>
      </c>
      <c r="Z465" s="21" t="s">
        <v>20</v>
      </c>
    </row>
    <row r="466" spans="1:26" ht="13.9" customHeight="1" x14ac:dyDescent="0.25">
      <c r="A466" s="15">
        <v>7</v>
      </c>
      <c r="B466" s="15">
        <v>1</v>
      </c>
      <c r="C466" s="15">
        <v>1</v>
      </c>
      <c r="D466" s="11" t="s">
        <v>259</v>
      </c>
      <c r="E466" s="24">
        <v>610</v>
      </c>
      <c r="F466" s="24" t="s">
        <v>131</v>
      </c>
      <c r="G466" s="25">
        <v>36838.400000000001</v>
      </c>
      <c r="H466" s="25">
        <v>30797.75</v>
      </c>
      <c r="I466" s="25">
        <v>42664</v>
      </c>
      <c r="J466" s="25">
        <v>37870</v>
      </c>
      <c r="K466" s="25">
        <v>47463</v>
      </c>
      <c r="L466" s="25"/>
      <c r="M466" s="25"/>
      <c r="N466" s="25"/>
      <c r="O466" s="25"/>
      <c r="P466" s="25">
        <f>K466+SUM(L466:O466)</f>
        <v>47463</v>
      </c>
      <c r="Q466" s="25">
        <v>11892.8</v>
      </c>
      <c r="R466" s="26">
        <f t="shared" ref="R466:R477" si="231">IFERROR(Q466/$P466,0)</f>
        <v>0.25056991762004088</v>
      </c>
      <c r="S466" s="25"/>
      <c r="T466" s="26">
        <f t="shared" ref="T466:T477" si="232">IFERROR(S466/$P466,0)</f>
        <v>0</v>
      </c>
      <c r="U466" s="25"/>
      <c r="V466" s="26">
        <f t="shared" ref="V466:V477" si="233">IFERROR(U466/$P466,0)</f>
        <v>0</v>
      </c>
      <c r="W466" s="25"/>
      <c r="X466" s="26">
        <f t="shared" ref="X466:X477" si="234">IFERROR(W466/$P466,0)</f>
        <v>0</v>
      </c>
      <c r="Y466" s="25">
        <f>K466</f>
        <v>47463</v>
      </c>
      <c r="Z466" s="25">
        <f>Y466</f>
        <v>47463</v>
      </c>
    </row>
    <row r="467" spans="1:26" ht="13.9" customHeight="1" x14ac:dyDescent="0.25">
      <c r="A467" s="15">
        <v>7</v>
      </c>
      <c r="B467" s="15">
        <v>1</v>
      </c>
      <c r="C467" s="15">
        <v>1</v>
      </c>
      <c r="D467" s="11"/>
      <c r="E467" s="24">
        <v>620</v>
      </c>
      <c r="F467" s="24" t="s">
        <v>132</v>
      </c>
      <c r="G467" s="25">
        <v>13273.6</v>
      </c>
      <c r="H467" s="25">
        <v>10857.64</v>
      </c>
      <c r="I467" s="25">
        <v>14456</v>
      </c>
      <c r="J467" s="25">
        <v>13663</v>
      </c>
      <c r="K467" s="25">
        <v>18180</v>
      </c>
      <c r="L467" s="25"/>
      <c r="M467" s="25"/>
      <c r="N467" s="25"/>
      <c r="O467" s="25"/>
      <c r="P467" s="25">
        <f>K467+SUM(L467:O467)</f>
        <v>18180</v>
      </c>
      <c r="Q467" s="25">
        <v>4293</v>
      </c>
      <c r="R467" s="26">
        <f t="shared" si="231"/>
        <v>0.23613861386138613</v>
      </c>
      <c r="S467" s="25"/>
      <c r="T467" s="26">
        <f t="shared" si="232"/>
        <v>0</v>
      </c>
      <c r="U467" s="25"/>
      <c r="V467" s="26">
        <f t="shared" si="233"/>
        <v>0</v>
      </c>
      <c r="W467" s="25"/>
      <c r="X467" s="26">
        <f t="shared" si="234"/>
        <v>0</v>
      </c>
      <c r="Y467" s="25">
        <f>K467</f>
        <v>18180</v>
      </c>
      <c r="Z467" s="25">
        <f>Y467</f>
        <v>18180</v>
      </c>
    </row>
    <row r="468" spans="1:26" ht="13.9" customHeight="1" x14ac:dyDescent="0.25">
      <c r="A468" s="15">
        <v>7</v>
      </c>
      <c r="B468" s="15">
        <v>1</v>
      </c>
      <c r="C468" s="15">
        <v>1</v>
      </c>
      <c r="D468" s="11"/>
      <c r="E468" s="24">
        <v>630</v>
      </c>
      <c r="F468" s="24" t="s">
        <v>133</v>
      </c>
      <c r="G468" s="25">
        <v>3600</v>
      </c>
      <c r="H468" s="25">
        <v>20918.310000000001</v>
      </c>
      <c r="I468" s="25">
        <v>1581</v>
      </c>
      <c r="J468" s="25">
        <v>5641</v>
      </c>
      <c r="K468" s="25">
        <v>6891</v>
      </c>
      <c r="L468" s="25"/>
      <c r="M468" s="25"/>
      <c r="N468" s="25"/>
      <c r="O468" s="25"/>
      <c r="P468" s="25">
        <f>K468+SUM(L468:O468)</f>
        <v>6891</v>
      </c>
      <c r="Q468" s="25">
        <v>1435.8</v>
      </c>
      <c r="R468" s="26">
        <f t="shared" si="231"/>
        <v>0.2083587287766652</v>
      </c>
      <c r="S468" s="25"/>
      <c r="T468" s="26">
        <f t="shared" si="232"/>
        <v>0</v>
      </c>
      <c r="U468" s="25"/>
      <c r="V468" s="26">
        <f t="shared" si="233"/>
        <v>0</v>
      </c>
      <c r="W468" s="25"/>
      <c r="X468" s="26">
        <f t="shared" si="234"/>
        <v>0</v>
      </c>
      <c r="Y468" s="25">
        <f>K468</f>
        <v>6891</v>
      </c>
      <c r="Z468" s="25">
        <f>Y468</f>
        <v>6891</v>
      </c>
    </row>
    <row r="469" spans="1:26" ht="13.9" customHeight="1" x14ac:dyDescent="0.25">
      <c r="A469" s="15">
        <v>7</v>
      </c>
      <c r="B469" s="15">
        <v>1</v>
      </c>
      <c r="C469" s="15">
        <v>1</v>
      </c>
      <c r="D469" s="79" t="s">
        <v>21</v>
      </c>
      <c r="E469" s="48">
        <v>111</v>
      </c>
      <c r="F469" s="48" t="s">
        <v>136</v>
      </c>
      <c r="G469" s="98">
        <f t="shared" ref="G469:Q469" si="235">SUM(G466:G468)</f>
        <v>53712</v>
      </c>
      <c r="H469" s="98">
        <f t="shared" si="235"/>
        <v>62573.7</v>
      </c>
      <c r="I469" s="98">
        <f t="shared" si="235"/>
        <v>58701</v>
      </c>
      <c r="J469" s="98">
        <f t="shared" si="235"/>
        <v>57174</v>
      </c>
      <c r="K469" s="98">
        <f t="shared" si="235"/>
        <v>72534</v>
      </c>
      <c r="L469" s="98">
        <f t="shared" si="235"/>
        <v>0</v>
      </c>
      <c r="M469" s="98">
        <f t="shared" si="235"/>
        <v>0</v>
      </c>
      <c r="N469" s="98">
        <f t="shared" si="235"/>
        <v>0</v>
      </c>
      <c r="O469" s="98">
        <f t="shared" si="235"/>
        <v>0</v>
      </c>
      <c r="P469" s="98">
        <f t="shared" si="235"/>
        <v>72534</v>
      </c>
      <c r="Q469" s="98">
        <f t="shared" si="235"/>
        <v>17621.599999999999</v>
      </c>
      <c r="R469" s="99">
        <f t="shared" si="231"/>
        <v>0.24294262001268369</v>
      </c>
      <c r="S469" s="98">
        <f>SUM(S466:S468)</f>
        <v>0</v>
      </c>
      <c r="T469" s="99">
        <f t="shared" si="232"/>
        <v>0</v>
      </c>
      <c r="U469" s="98">
        <f>SUM(U466:U468)</f>
        <v>0</v>
      </c>
      <c r="V469" s="99">
        <f t="shared" si="233"/>
        <v>0</v>
      </c>
      <c r="W469" s="98">
        <f>SUM(W466:W468)</f>
        <v>0</v>
      </c>
      <c r="X469" s="99">
        <f t="shared" si="234"/>
        <v>0</v>
      </c>
      <c r="Y469" s="98">
        <f>SUM(Y466:Y468)</f>
        <v>72534</v>
      </c>
      <c r="Z469" s="98">
        <f>SUM(Z466:Z468)</f>
        <v>72534</v>
      </c>
    </row>
    <row r="470" spans="1:26" ht="13.9" customHeight="1" x14ac:dyDescent="0.25">
      <c r="A470" s="15">
        <v>7</v>
      </c>
      <c r="B470" s="15">
        <v>1</v>
      </c>
      <c r="C470" s="15">
        <v>1</v>
      </c>
      <c r="D470" s="5" t="s">
        <v>259</v>
      </c>
      <c r="E470" s="24">
        <v>610</v>
      </c>
      <c r="F470" s="24" t="s">
        <v>131</v>
      </c>
      <c r="G470" s="25">
        <v>39073.97</v>
      </c>
      <c r="H470" s="25">
        <v>48593</v>
      </c>
      <c r="I470" s="25">
        <v>47448</v>
      </c>
      <c r="J470" s="25">
        <v>43203</v>
      </c>
      <c r="K470" s="25">
        <v>39226</v>
      </c>
      <c r="L470" s="25"/>
      <c r="M470" s="25"/>
      <c r="N470" s="25"/>
      <c r="O470" s="25"/>
      <c r="P470" s="25">
        <f>K470+SUM(L470:O470)</f>
        <v>39226</v>
      </c>
      <c r="Q470" s="25">
        <v>4976.5</v>
      </c>
      <c r="R470" s="26">
        <f t="shared" si="231"/>
        <v>0.12686738387804009</v>
      </c>
      <c r="S470" s="25"/>
      <c r="T470" s="26">
        <f t="shared" si="232"/>
        <v>0</v>
      </c>
      <c r="U470" s="25"/>
      <c r="V470" s="26">
        <f t="shared" si="233"/>
        <v>0</v>
      </c>
      <c r="W470" s="25"/>
      <c r="X470" s="26">
        <f t="shared" si="234"/>
        <v>0</v>
      </c>
      <c r="Y470" s="25">
        <v>35451</v>
      </c>
      <c r="Z470" s="25">
        <v>36528</v>
      </c>
    </row>
    <row r="471" spans="1:26" ht="13.9" customHeight="1" x14ac:dyDescent="0.25">
      <c r="A471" s="15">
        <v>7</v>
      </c>
      <c r="B471" s="15">
        <v>1</v>
      </c>
      <c r="C471" s="15">
        <v>1</v>
      </c>
      <c r="D471" s="5"/>
      <c r="E471" s="24">
        <v>620</v>
      </c>
      <c r="F471" s="24" t="s">
        <v>132</v>
      </c>
      <c r="G471" s="25">
        <v>14864.56</v>
      </c>
      <c r="H471" s="25">
        <v>18282.89</v>
      </c>
      <c r="I471" s="25">
        <v>18645</v>
      </c>
      <c r="J471" s="25">
        <v>17173</v>
      </c>
      <c r="K471" s="25">
        <v>15914</v>
      </c>
      <c r="L471" s="25"/>
      <c r="M471" s="25"/>
      <c r="N471" s="25"/>
      <c r="O471" s="25"/>
      <c r="P471" s="25">
        <f>K471+SUM(L471:O471)</f>
        <v>15914</v>
      </c>
      <c r="Q471" s="25">
        <v>2068.34</v>
      </c>
      <c r="R471" s="26">
        <f t="shared" si="231"/>
        <v>0.12996983787859748</v>
      </c>
      <c r="S471" s="25"/>
      <c r="T471" s="26">
        <f t="shared" si="232"/>
        <v>0</v>
      </c>
      <c r="U471" s="25"/>
      <c r="V471" s="26">
        <f t="shared" si="233"/>
        <v>0</v>
      </c>
      <c r="W471" s="25"/>
      <c r="X471" s="26">
        <f t="shared" si="234"/>
        <v>0</v>
      </c>
      <c r="Y471" s="25">
        <v>14482</v>
      </c>
      <c r="Z471" s="25">
        <v>14889</v>
      </c>
    </row>
    <row r="472" spans="1:26" ht="13.9" customHeight="1" x14ac:dyDescent="0.25">
      <c r="A472" s="15">
        <v>7</v>
      </c>
      <c r="B472" s="15">
        <v>1</v>
      </c>
      <c r="C472" s="15">
        <v>1</v>
      </c>
      <c r="D472" s="5"/>
      <c r="E472" s="24">
        <v>630</v>
      </c>
      <c r="F472" s="24" t="s">
        <v>133</v>
      </c>
      <c r="G472" s="25">
        <v>33659.120000000003</v>
      </c>
      <c r="H472" s="25">
        <v>44699.11</v>
      </c>
      <c r="I472" s="25">
        <f>10911+39865</f>
        <v>50776</v>
      </c>
      <c r="J472" s="25">
        <v>40722</v>
      </c>
      <c r="K472" s="25">
        <f>10748+29460</f>
        <v>40208</v>
      </c>
      <c r="L472" s="25"/>
      <c r="M472" s="25"/>
      <c r="N472" s="25"/>
      <c r="O472" s="25"/>
      <c r="P472" s="25">
        <f>K472+SUM(L472:O472)</f>
        <v>40208</v>
      </c>
      <c r="Q472" s="25">
        <v>9008.5400000000009</v>
      </c>
      <c r="R472" s="26">
        <f t="shared" si="231"/>
        <v>0.22404844807003582</v>
      </c>
      <c r="S472" s="25"/>
      <c r="T472" s="26">
        <f t="shared" si="232"/>
        <v>0</v>
      </c>
      <c r="U472" s="25"/>
      <c r="V472" s="26">
        <f t="shared" si="233"/>
        <v>0</v>
      </c>
      <c r="W472" s="25"/>
      <c r="X472" s="26">
        <f t="shared" si="234"/>
        <v>0</v>
      </c>
      <c r="Y472" s="25">
        <f>10781+29460</f>
        <v>40241</v>
      </c>
      <c r="Z472" s="25">
        <f>10843+29460</f>
        <v>40303</v>
      </c>
    </row>
    <row r="473" spans="1:26" ht="13.9" hidden="1" customHeight="1" x14ac:dyDescent="0.25">
      <c r="A473" s="15">
        <v>7</v>
      </c>
      <c r="B473" s="15">
        <v>1</v>
      </c>
      <c r="C473" s="15">
        <v>1</v>
      </c>
      <c r="D473" s="5"/>
      <c r="E473" s="24">
        <v>640</v>
      </c>
      <c r="F473" s="24" t="s">
        <v>134</v>
      </c>
      <c r="G473" s="25">
        <v>6568.23</v>
      </c>
      <c r="H473" s="25">
        <v>227.66</v>
      </c>
      <c r="I473" s="25">
        <v>0</v>
      </c>
      <c r="J473" s="25">
        <v>365</v>
      </c>
      <c r="K473" s="25">
        <v>0</v>
      </c>
      <c r="L473" s="25"/>
      <c r="M473" s="25"/>
      <c r="N473" s="25"/>
      <c r="O473" s="25"/>
      <c r="P473" s="25">
        <f>K473+SUM(L473:O473)</f>
        <v>0</v>
      </c>
      <c r="Q473" s="25"/>
      <c r="R473" s="26">
        <f t="shared" si="231"/>
        <v>0</v>
      </c>
      <c r="S473" s="25"/>
      <c r="T473" s="26">
        <f t="shared" si="232"/>
        <v>0</v>
      </c>
      <c r="U473" s="25"/>
      <c r="V473" s="26">
        <f t="shared" si="233"/>
        <v>0</v>
      </c>
      <c r="W473" s="25"/>
      <c r="X473" s="26">
        <f t="shared" si="234"/>
        <v>0</v>
      </c>
      <c r="Y473" s="25">
        <v>0</v>
      </c>
      <c r="Z473" s="25">
        <v>0</v>
      </c>
    </row>
    <row r="474" spans="1:26" ht="13.9" customHeight="1" x14ac:dyDescent="0.25">
      <c r="A474" s="15">
        <v>7</v>
      </c>
      <c r="B474" s="15">
        <v>1</v>
      </c>
      <c r="C474" s="15">
        <v>1</v>
      </c>
      <c r="D474" s="79" t="s">
        <v>21</v>
      </c>
      <c r="E474" s="48">
        <v>41</v>
      </c>
      <c r="F474" s="48" t="s">
        <v>23</v>
      </c>
      <c r="G474" s="49">
        <f t="shared" ref="G474:Q474" si="236">SUM(G470:G473)</f>
        <v>94165.87999999999</v>
      </c>
      <c r="H474" s="49">
        <f t="shared" si="236"/>
        <v>111802.66</v>
      </c>
      <c r="I474" s="49">
        <f t="shared" si="236"/>
        <v>116869</v>
      </c>
      <c r="J474" s="49">
        <f t="shared" si="236"/>
        <v>101463</v>
      </c>
      <c r="K474" s="49">
        <f t="shared" si="236"/>
        <v>95348</v>
      </c>
      <c r="L474" s="49">
        <f t="shared" si="236"/>
        <v>0</v>
      </c>
      <c r="M474" s="49">
        <f t="shared" si="236"/>
        <v>0</v>
      </c>
      <c r="N474" s="49">
        <f t="shared" si="236"/>
        <v>0</v>
      </c>
      <c r="O474" s="49">
        <f t="shared" si="236"/>
        <v>0</v>
      </c>
      <c r="P474" s="49">
        <f t="shared" si="236"/>
        <v>95348</v>
      </c>
      <c r="Q474" s="49">
        <f t="shared" si="236"/>
        <v>16053.380000000001</v>
      </c>
      <c r="R474" s="50">
        <f t="shared" si="231"/>
        <v>0.1683661954104963</v>
      </c>
      <c r="S474" s="49">
        <f>SUM(S470:S473)</f>
        <v>0</v>
      </c>
      <c r="T474" s="50">
        <f t="shared" si="232"/>
        <v>0</v>
      </c>
      <c r="U474" s="49">
        <f>SUM(U470:U473)</f>
        <v>0</v>
      </c>
      <c r="V474" s="50">
        <f t="shared" si="233"/>
        <v>0</v>
      </c>
      <c r="W474" s="49">
        <f>SUM(W470:W473)</f>
        <v>0</v>
      </c>
      <c r="X474" s="50">
        <f t="shared" si="234"/>
        <v>0</v>
      </c>
      <c r="Y474" s="49">
        <f>SUM(Y470:Y473)</f>
        <v>90174</v>
      </c>
      <c r="Z474" s="49">
        <f>SUM(Z470:Z473)</f>
        <v>91720</v>
      </c>
    </row>
    <row r="475" spans="1:26" ht="13.9" customHeight="1" x14ac:dyDescent="0.25">
      <c r="A475" s="15">
        <v>7</v>
      </c>
      <c r="B475" s="15">
        <v>1</v>
      </c>
      <c r="C475" s="15">
        <v>1</v>
      </c>
      <c r="D475" s="51" t="s">
        <v>259</v>
      </c>
      <c r="E475" s="24">
        <v>640</v>
      </c>
      <c r="F475" s="24" t="s">
        <v>134</v>
      </c>
      <c r="G475" s="25">
        <v>1221.0899999999999</v>
      </c>
      <c r="H475" s="25">
        <v>1166.6600000000001</v>
      </c>
      <c r="I475" s="25">
        <v>1085</v>
      </c>
      <c r="J475" s="25">
        <v>953</v>
      </c>
      <c r="K475" s="25">
        <v>1074</v>
      </c>
      <c r="L475" s="25"/>
      <c r="M475" s="25"/>
      <c r="N475" s="25"/>
      <c r="O475" s="25"/>
      <c r="P475" s="25">
        <f>K475+SUM(L475:O475)</f>
        <v>1074</v>
      </c>
      <c r="Q475" s="25">
        <v>0</v>
      </c>
      <c r="R475" s="26">
        <f t="shared" si="231"/>
        <v>0</v>
      </c>
      <c r="S475" s="25"/>
      <c r="T475" s="26">
        <f t="shared" si="232"/>
        <v>0</v>
      </c>
      <c r="U475" s="25"/>
      <c r="V475" s="26">
        <f t="shared" si="233"/>
        <v>0</v>
      </c>
      <c r="W475" s="25"/>
      <c r="X475" s="26">
        <f t="shared" si="234"/>
        <v>0</v>
      </c>
      <c r="Y475" s="25">
        <f>K475</f>
        <v>1074</v>
      </c>
      <c r="Z475" s="25">
        <f>Y475</f>
        <v>1074</v>
      </c>
    </row>
    <row r="476" spans="1:26" ht="13.9" customHeight="1" x14ac:dyDescent="0.25">
      <c r="A476" s="15">
        <v>7</v>
      </c>
      <c r="B476" s="15">
        <v>1</v>
      </c>
      <c r="C476" s="15">
        <v>1</v>
      </c>
      <c r="D476" s="79" t="s">
        <v>21</v>
      </c>
      <c r="E476" s="48">
        <v>72</v>
      </c>
      <c r="F476" s="48" t="s">
        <v>25</v>
      </c>
      <c r="G476" s="49">
        <f t="shared" ref="G476:Q476" si="237">SUM(G475)</f>
        <v>1221.0899999999999</v>
      </c>
      <c r="H476" s="49">
        <f t="shared" si="237"/>
        <v>1166.6600000000001</v>
      </c>
      <c r="I476" s="49">
        <f t="shared" si="237"/>
        <v>1085</v>
      </c>
      <c r="J476" s="49">
        <f t="shared" si="237"/>
        <v>953</v>
      </c>
      <c r="K476" s="49">
        <f t="shared" si="237"/>
        <v>1074</v>
      </c>
      <c r="L476" s="49">
        <f t="shared" si="237"/>
        <v>0</v>
      </c>
      <c r="M476" s="49">
        <f t="shared" si="237"/>
        <v>0</v>
      </c>
      <c r="N476" s="49">
        <f t="shared" si="237"/>
        <v>0</v>
      </c>
      <c r="O476" s="49">
        <f t="shared" si="237"/>
        <v>0</v>
      </c>
      <c r="P476" s="49">
        <f t="shared" si="237"/>
        <v>1074</v>
      </c>
      <c r="Q476" s="49">
        <f t="shared" si="237"/>
        <v>0</v>
      </c>
      <c r="R476" s="50">
        <f t="shared" si="231"/>
        <v>0</v>
      </c>
      <c r="S476" s="49">
        <f>SUM(S475)</f>
        <v>0</v>
      </c>
      <c r="T476" s="50">
        <f t="shared" si="232"/>
        <v>0</v>
      </c>
      <c r="U476" s="49">
        <f>SUM(U475)</f>
        <v>0</v>
      </c>
      <c r="V476" s="50">
        <f t="shared" si="233"/>
        <v>0</v>
      </c>
      <c r="W476" s="49">
        <f>SUM(W475)</f>
        <v>0</v>
      </c>
      <c r="X476" s="50">
        <f t="shared" si="234"/>
        <v>0</v>
      </c>
      <c r="Y476" s="49">
        <f>SUM(Y475)</f>
        <v>1074</v>
      </c>
      <c r="Z476" s="49">
        <f>SUM(Z475)</f>
        <v>1074</v>
      </c>
    </row>
    <row r="477" spans="1:26" ht="13.9" customHeight="1" x14ac:dyDescent="0.25">
      <c r="A477" s="15">
        <v>7</v>
      </c>
      <c r="B477" s="15">
        <v>1</v>
      </c>
      <c r="C477" s="15">
        <v>1</v>
      </c>
      <c r="D477" s="30"/>
      <c r="E477" s="31"/>
      <c r="F477" s="27" t="s">
        <v>126</v>
      </c>
      <c r="G477" s="28">
        <f t="shared" ref="G477:Q477" si="238">G469+G474+G476</f>
        <v>149098.97</v>
      </c>
      <c r="H477" s="28">
        <f t="shared" si="238"/>
        <v>175543.02</v>
      </c>
      <c r="I477" s="28">
        <f t="shared" si="238"/>
        <v>176655</v>
      </c>
      <c r="J477" s="28">
        <f t="shared" si="238"/>
        <v>159590</v>
      </c>
      <c r="K477" s="28">
        <f t="shared" si="238"/>
        <v>168956</v>
      </c>
      <c r="L477" s="28">
        <f t="shared" si="238"/>
        <v>0</v>
      </c>
      <c r="M477" s="28">
        <f t="shared" si="238"/>
        <v>0</v>
      </c>
      <c r="N477" s="28">
        <f t="shared" si="238"/>
        <v>0</v>
      </c>
      <c r="O477" s="28">
        <f t="shared" si="238"/>
        <v>0</v>
      </c>
      <c r="P477" s="28">
        <f t="shared" si="238"/>
        <v>168956</v>
      </c>
      <c r="Q477" s="28">
        <f t="shared" si="238"/>
        <v>33674.979999999996</v>
      </c>
      <c r="R477" s="29">
        <f t="shared" si="231"/>
        <v>0.19931212860152936</v>
      </c>
      <c r="S477" s="28">
        <f>S469+S474+S476</f>
        <v>0</v>
      </c>
      <c r="T477" s="29">
        <f t="shared" si="232"/>
        <v>0</v>
      </c>
      <c r="U477" s="28">
        <f>U469+U474+U476</f>
        <v>0</v>
      </c>
      <c r="V477" s="29">
        <f t="shared" si="233"/>
        <v>0</v>
      </c>
      <c r="W477" s="28">
        <f>W469+W474+W476</f>
        <v>0</v>
      </c>
      <c r="X477" s="29">
        <f t="shared" si="234"/>
        <v>0</v>
      </c>
      <c r="Y477" s="28">
        <f>Y469+Y474+Y476</f>
        <v>163782</v>
      </c>
      <c r="Z477" s="28">
        <f>Z469+Z474+Z476</f>
        <v>165328</v>
      </c>
    </row>
    <row r="479" spans="1:26" ht="13.9" customHeight="1" x14ac:dyDescent="0.25">
      <c r="E479" s="52" t="s">
        <v>55</v>
      </c>
      <c r="F479" s="30" t="s">
        <v>149</v>
      </c>
      <c r="G479" s="53">
        <v>3960</v>
      </c>
      <c r="H479" s="53">
        <v>7363</v>
      </c>
      <c r="I479" s="53">
        <v>7363</v>
      </c>
      <c r="J479" s="53">
        <v>1843</v>
      </c>
      <c r="K479" s="53">
        <v>1835</v>
      </c>
      <c r="L479" s="53"/>
      <c r="M479" s="53"/>
      <c r="N479" s="53"/>
      <c r="O479" s="53"/>
      <c r="P479" s="53">
        <f>K479+SUM(L479:O479)</f>
        <v>1835</v>
      </c>
      <c r="Q479" s="53">
        <v>613.08000000000004</v>
      </c>
      <c r="R479" s="54">
        <f>IFERROR(Q479/$P479,0)</f>
        <v>0.33410354223433247</v>
      </c>
      <c r="S479" s="53"/>
      <c r="T479" s="54">
        <f>IFERROR(S479/$P479,0)</f>
        <v>0</v>
      </c>
      <c r="U479" s="53"/>
      <c r="V479" s="54">
        <f>IFERROR(U479/$P479,0)</f>
        <v>0</v>
      </c>
      <c r="W479" s="53"/>
      <c r="X479" s="55">
        <f>IFERROR(W479/$P479,0)</f>
        <v>0</v>
      </c>
      <c r="Y479" s="53">
        <f>K479</f>
        <v>1835</v>
      </c>
      <c r="Z479" s="56">
        <f>Y479</f>
        <v>1835</v>
      </c>
    </row>
    <row r="480" spans="1:26" ht="13.9" customHeight="1" x14ac:dyDescent="0.25">
      <c r="E480" s="57"/>
      <c r="F480" s="92" t="s">
        <v>150</v>
      </c>
      <c r="G480" s="95">
        <v>4856.5</v>
      </c>
      <c r="H480" s="95">
        <v>6567</v>
      </c>
      <c r="I480" s="95">
        <v>6567</v>
      </c>
      <c r="J480" s="95">
        <v>2211</v>
      </c>
      <c r="K480" s="95">
        <v>2210</v>
      </c>
      <c r="L480" s="95"/>
      <c r="M480" s="95"/>
      <c r="N480" s="95"/>
      <c r="O480" s="95"/>
      <c r="P480" s="95">
        <f>K480+SUM(L480:O480)</f>
        <v>2210</v>
      </c>
      <c r="Q480" s="95">
        <v>1030.4100000000001</v>
      </c>
      <c r="R480" s="96">
        <f>IFERROR(Q480/$P480,0)</f>
        <v>0.46624886877828059</v>
      </c>
      <c r="S480" s="95"/>
      <c r="T480" s="96">
        <f>IFERROR(S480/$P480,0)</f>
        <v>0</v>
      </c>
      <c r="U480" s="95"/>
      <c r="V480" s="96">
        <f>IFERROR(U480/$P480,0)</f>
        <v>0</v>
      </c>
      <c r="W480" s="95"/>
      <c r="X480" s="60">
        <f>IFERROR(W480/$P480,0)</f>
        <v>0</v>
      </c>
      <c r="Y480" s="95">
        <f>K480</f>
        <v>2210</v>
      </c>
      <c r="Z480" s="61">
        <f>Y480</f>
        <v>2210</v>
      </c>
    </row>
    <row r="481" spans="1:26" ht="13.9" hidden="1" customHeight="1" x14ac:dyDescent="0.25">
      <c r="E481" s="57"/>
      <c r="F481" s="92" t="s">
        <v>260</v>
      </c>
      <c r="G481" s="95"/>
      <c r="H481" s="95">
        <v>2500</v>
      </c>
      <c r="I481" s="95">
        <v>250</v>
      </c>
      <c r="J481" s="95">
        <v>0</v>
      </c>
      <c r="K481" s="95">
        <v>0</v>
      </c>
      <c r="L481" s="95"/>
      <c r="M481" s="95"/>
      <c r="N481" s="95"/>
      <c r="O481" s="95"/>
      <c r="P481" s="95">
        <f>K481+SUM(L481:O481)</f>
        <v>0</v>
      </c>
      <c r="Q481" s="95"/>
      <c r="R481" s="96">
        <f>IFERROR(Q481/$P481,0)</f>
        <v>0</v>
      </c>
      <c r="S481" s="95"/>
      <c r="T481" s="96">
        <f>IFERROR(S481/$P481,0)</f>
        <v>0</v>
      </c>
      <c r="U481" s="95"/>
      <c r="V481" s="96">
        <f>IFERROR(U481/$P481,0)</f>
        <v>0</v>
      </c>
      <c r="W481" s="95"/>
      <c r="X481" s="60">
        <f>IFERROR(W481/$P481,0)</f>
        <v>0</v>
      </c>
      <c r="Y481" s="95">
        <f>K481</f>
        <v>0</v>
      </c>
      <c r="Z481" s="61">
        <f>Y481</f>
        <v>0</v>
      </c>
    </row>
    <row r="482" spans="1:26" ht="13.9" customHeight="1" x14ac:dyDescent="0.25">
      <c r="E482" s="100"/>
      <c r="F482" s="119" t="s">
        <v>261</v>
      </c>
      <c r="G482" s="105">
        <v>14424.66</v>
      </c>
      <c r="H482" s="105">
        <v>14993.74</v>
      </c>
      <c r="I482" s="105">
        <v>19400</v>
      </c>
      <c r="J482" s="105">
        <v>15687</v>
      </c>
      <c r="K482" s="105">
        <v>19053</v>
      </c>
      <c r="L482" s="105"/>
      <c r="M482" s="105"/>
      <c r="N482" s="105"/>
      <c r="O482" s="105"/>
      <c r="P482" s="105">
        <f>K482+SUM(L482:O482)</f>
        <v>19053</v>
      </c>
      <c r="Q482" s="105">
        <v>3983.91</v>
      </c>
      <c r="R482" s="126">
        <f>IFERROR(Q482/$P482,0)</f>
        <v>0.20909620532199652</v>
      </c>
      <c r="S482" s="105"/>
      <c r="T482" s="126">
        <f>IFERROR(S482/$P482,0)</f>
        <v>0</v>
      </c>
      <c r="U482" s="105"/>
      <c r="V482" s="126">
        <f>IFERROR(U482/$P482,0)</f>
        <v>0</v>
      </c>
      <c r="W482" s="105"/>
      <c r="X482" s="127">
        <f>IFERROR(W482/$P482,0)</f>
        <v>0</v>
      </c>
      <c r="Y482" s="95">
        <f>K482</f>
        <v>19053</v>
      </c>
      <c r="Z482" s="61">
        <f>Y482</f>
        <v>19053</v>
      </c>
    </row>
    <row r="483" spans="1:26" ht="13.9" hidden="1" customHeight="1" x14ac:dyDescent="0.25">
      <c r="E483" s="65"/>
      <c r="F483" s="97" t="s">
        <v>262</v>
      </c>
      <c r="G483" s="67">
        <v>6469</v>
      </c>
      <c r="H483" s="67">
        <v>0</v>
      </c>
      <c r="I483" s="67">
        <v>0</v>
      </c>
      <c r="J483" s="67">
        <v>0</v>
      </c>
      <c r="K483" s="67">
        <v>0</v>
      </c>
      <c r="L483" s="67"/>
      <c r="M483" s="67"/>
      <c r="N483" s="67"/>
      <c r="O483" s="67"/>
      <c r="P483" s="67">
        <f>K483+SUM(L483:O483)</f>
        <v>0</v>
      </c>
      <c r="Q483" s="67"/>
      <c r="R483" s="68">
        <f>IFERROR(Q483/$P483,0)</f>
        <v>0</v>
      </c>
      <c r="S483" s="67"/>
      <c r="T483" s="68">
        <f>IFERROR(S483/$P483,0)</f>
        <v>0</v>
      </c>
      <c r="U483" s="67"/>
      <c r="V483" s="68">
        <f>IFERROR(U483/$P483,0)</f>
        <v>0</v>
      </c>
      <c r="W483" s="67"/>
      <c r="X483" s="69">
        <f>IFERROR(W483/$P483,0)</f>
        <v>0</v>
      </c>
      <c r="Y483" s="67">
        <v>0</v>
      </c>
      <c r="Z483" s="70">
        <v>0</v>
      </c>
    </row>
    <row r="485" spans="1:26" ht="13.9" customHeight="1" x14ac:dyDescent="0.25">
      <c r="D485" s="73" t="s">
        <v>263</v>
      </c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4"/>
      <c r="S485" s="73"/>
      <c r="T485" s="74"/>
      <c r="U485" s="73"/>
      <c r="V485" s="74"/>
      <c r="W485" s="73"/>
      <c r="X485" s="74"/>
      <c r="Y485" s="73"/>
      <c r="Z485" s="73"/>
    </row>
    <row r="486" spans="1:26" ht="13.9" customHeight="1" x14ac:dyDescent="0.25">
      <c r="D486" s="21" t="s">
        <v>32</v>
      </c>
      <c r="E486" s="21" t="s">
        <v>33</v>
      </c>
      <c r="F486" s="21" t="s">
        <v>34</v>
      </c>
      <c r="G486" s="21" t="s">
        <v>1</v>
      </c>
      <c r="H486" s="21" t="s">
        <v>2</v>
      </c>
      <c r="I486" s="21" t="s">
        <v>3</v>
      </c>
      <c r="J486" s="21" t="s">
        <v>4</v>
      </c>
      <c r="K486" s="21" t="s">
        <v>5</v>
      </c>
      <c r="L486" s="21" t="s">
        <v>6</v>
      </c>
      <c r="M486" s="21" t="s">
        <v>7</v>
      </c>
      <c r="N486" s="21" t="s">
        <v>8</v>
      </c>
      <c r="O486" s="21" t="s">
        <v>9</v>
      </c>
      <c r="P486" s="21" t="s">
        <v>123</v>
      </c>
      <c r="Q486" s="21" t="s">
        <v>11</v>
      </c>
      <c r="R486" s="22" t="s">
        <v>12</v>
      </c>
      <c r="S486" s="21" t="s">
        <v>13</v>
      </c>
      <c r="T486" s="22" t="s">
        <v>14</v>
      </c>
      <c r="U486" s="21" t="s">
        <v>15</v>
      </c>
      <c r="V486" s="22" t="s">
        <v>16</v>
      </c>
      <c r="W486" s="21" t="s">
        <v>17</v>
      </c>
      <c r="X486" s="22" t="s">
        <v>18</v>
      </c>
      <c r="Y486" s="21" t="s">
        <v>19</v>
      </c>
      <c r="Z486" s="21" t="s">
        <v>20</v>
      </c>
    </row>
    <row r="487" spans="1:26" ht="13.9" customHeight="1" x14ac:dyDescent="0.25">
      <c r="D487" s="11" t="s">
        <v>259</v>
      </c>
      <c r="E487" s="24">
        <v>610</v>
      </c>
      <c r="F487" s="24" t="s">
        <v>131</v>
      </c>
      <c r="G487" s="25">
        <v>0</v>
      </c>
      <c r="H487" s="25">
        <v>0</v>
      </c>
      <c r="I487" s="25">
        <v>0</v>
      </c>
      <c r="J487" s="25">
        <v>0</v>
      </c>
      <c r="K487" s="25">
        <v>16661</v>
      </c>
      <c r="L487" s="25">
        <v>-142</v>
      </c>
      <c r="M487" s="25"/>
      <c r="N487" s="25"/>
      <c r="O487" s="25"/>
      <c r="P487" s="25">
        <f>K487+SUM(L487:O487)</f>
        <v>16519</v>
      </c>
      <c r="Q487" s="25">
        <v>1515.71</v>
      </c>
      <c r="R487" s="26">
        <f t="shared" ref="R487:R494" si="239">IFERROR(Q487/$P487,0)</f>
        <v>9.1755554210303292E-2</v>
      </c>
      <c r="S487" s="25"/>
      <c r="T487" s="26">
        <f t="shared" ref="T487:T494" si="240">IFERROR(S487/$P487,0)</f>
        <v>0</v>
      </c>
      <c r="U487" s="25"/>
      <c r="V487" s="26">
        <f t="shared" ref="V487:V494" si="241">IFERROR(U487/$P487,0)</f>
        <v>0</v>
      </c>
      <c r="W487" s="25"/>
      <c r="X487" s="26">
        <f t="shared" ref="X487:X494" si="242">IFERROR(W487/$P487,0)</f>
        <v>0</v>
      </c>
      <c r="Y487" s="25">
        <v>21277</v>
      </c>
      <c r="Z487" s="25">
        <v>22305</v>
      </c>
    </row>
    <row r="488" spans="1:26" ht="13.9" customHeight="1" x14ac:dyDescent="0.25">
      <c r="D488" s="11"/>
      <c r="E488" s="24">
        <v>620</v>
      </c>
      <c r="F488" s="24" t="s">
        <v>132</v>
      </c>
      <c r="G488" s="25">
        <v>0</v>
      </c>
      <c r="H488" s="25">
        <v>0</v>
      </c>
      <c r="I488" s="25">
        <v>0</v>
      </c>
      <c r="J488" s="25">
        <v>0</v>
      </c>
      <c r="K488" s="25">
        <v>3784</v>
      </c>
      <c r="L488" s="25"/>
      <c r="M488" s="25"/>
      <c r="N488" s="25"/>
      <c r="O488" s="25"/>
      <c r="P488" s="25">
        <f>K488+SUM(L488:O488)</f>
        <v>3784</v>
      </c>
      <c r="Q488" s="25">
        <v>544.79999999999995</v>
      </c>
      <c r="R488" s="26">
        <f t="shared" si="239"/>
        <v>0.14397463002114164</v>
      </c>
      <c r="S488" s="25"/>
      <c r="T488" s="26">
        <f t="shared" si="240"/>
        <v>0</v>
      </c>
      <c r="U488" s="25"/>
      <c r="V488" s="26">
        <f t="shared" si="241"/>
        <v>0</v>
      </c>
      <c r="W488" s="25"/>
      <c r="X488" s="26">
        <f t="shared" si="242"/>
        <v>0</v>
      </c>
      <c r="Y488" s="25">
        <v>3671</v>
      </c>
      <c r="Z488" s="25">
        <v>3855</v>
      </c>
    </row>
    <row r="489" spans="1:26" ht="13.9" customHeight="1" x14ac:dyDescent="0.25">
      <c r="A489" s="15">
        <v>7</v>
      </c>
      <c r="B489" s="15">
        <v>1</v>
      </c>
      <c r="C489" s="15">
        <v>2</v>
      </c>
      <c r="D489" s="11"/>
      <c r="E489" s="24">
        <v>630</v>
      </c>
      <c r="F489" s="24" t="s">
        <v>133</v>
      </c>
      <c r="G489" s="25">
        <v>1817</v>
      </c>
      <c r="H489" s="25">
        <v>2904.05</v>
      </c>
      <c r="I489" s="25">
        <v>3000</v>
      </c>
      <c r="J489" s="25">
        <v>2737</v>
      </c>
      <c r="K489" s="25">
        <f>2311+5020</f>
        <v>7331</v>
      </c>
      <c r="L489" s="25"/>
      <c r="M489" s="25"/>
      <c r="N489" s="25"/>
      <c r="O489" s="25"/>
      <c r="P489" s="25">
        <f>K489+SUM(L489:O489)</f>
        <v>7331</v>
      </c>
      <c r="Q489" s="25">
        <v>558.62</v>
      </c>
      <c r="R489" s="26">
        <f t="shared" si="239"/>
        <v>7.619969990451507E-2</v>
      </c>
      <c r="S489" s="25"/>
      <c r="T489" s="26">
        <f t="shared" si="240"/>
        <v>0</v>
      </c>
      <c r="U489" s="25"/>
      <c r="V489" s="26">
        <f t="shared" si="241"/>
        <v>0</v>
      </c>
      <c r="W489" s="25"/>
      <c r="X489" s="26">
        <f t="shared" si="242"/>
        <v>0</v>
      </c>
      <c r="Y489" s="25">
        <f>2947+7040</f>
        <v>9987</v>
      </c>
      <c r="Z489" s="25">
        <f>2969+7040</f>
        <v>10009</v>
      </c>
    </row>
    <row r="490" spans="1:26" ht="13.9" customHeight="1" x14ac:dyDescent="0.25">
      <c r="D490" s="11"/>
      <c r="E490" s="24">
        <v>640</v>
      </c>
      <c r="F490" s="24" t="s">
        <v>134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46">
        <v>142</v>
      </c>
      <c r="M490" s="25"/>
      <c r="N490" s="25"/>
      <c r="O490" s="25"/>
      <c r="P490" s="25">
        <f>K490+SUM(L490:O490)</f>
        <v>142</v>
      </c>
      <c r="Q490" s="25">
        <v>142.30000000000001</v>
      </c>
      <c r="R490" s="26">
        <f t="shared" si="239"/>
        <v>1.0021126760563381</v>
      </c>
      <c r="S490" s="25"/>
      <c r="T490" s="26">
        <f t="shared" si="240"/>
        <v>0</v>
      </c>
      <c r="U490" s="25"/>
      <c r="V490" s="26">
        <f t="shared" si="241"/>
        <v>0</v>
      </c>
      <c r="W490" s="25"/>
      <c r="X490" s="26">
        <f t="shared" si="242"/>
        <v>0</v>
      </c>
      <c r="Y490" s="25">
        <v>0</v>
      </c>
      <c r="Z490" s="25">
        <v>0</v>
      </c>
    </row>
    <row r="491" spans="1:26" ht="13.9" customHeight="1" x14ac:dyDescent="0.25">
      <c r="A491" s="15">
        <v>7</v>
      </c>
      <c r="B491" s="15">
        <v>1</v>
      </c>
      <c r="C491" s="15">
        <v>2</v>
      </c>
      <c r="D491" s="79" t="s">
        <v>21</v>
      </c>
      <c r="E491" s="48">
        <v>41</v>
      </c>
      <c r="F491" s="48" t="s">
        <v>23</v>
      </c>
      <c r="G491" s="49">
        <f t="shared" ref="G491:Q491" si="243">SUM(G487:G490)</f>
        <v>1817</v>
      </c>
      <c r="H491" s="49">
        <f t="shared" si="243"/>
        <v>2904.05</v>
      </c>
      <c r="I491" s="49">
        <f t="shared" si="243"/>
        <v>3000</v>
      </c>
      <c r="J491" s="49">
        <f t="shared" si="243"/>
        <v>2737</v>
      </c>
      <c r="K491" s="49">
        <f t="shared" si="243"/>
        <v>27776</v>
      </c>
      <c r="L491" s="49">
        <f t="shared" si="243"/>
        <v>0</v>
      </c>
      <c r="M491" s="49">
        <f t="shared" si="243"/>
        <v>0</v>
      </c>
      <c r="N491" s="49">
        <f t="shared" si="243"/>
        <v>0</v>
      </c>
      <c r="O491" s="49">
        <f t="shared" si="243"/>
        <v>0</v>
      </c>
      <c r="P491" s="49">
        <f t="shared" si="243"/>
        <v>27776</v>
      </c>
      <c r="Q491" s="49">
        <f t="shared" si="243"/>
        <v>2761.4300000000003</v>
      </c>
      <c r="R491" s="50">
        <f t="shared" si="239"/>
        <v>9.9417842741935492E-2</v>
      </c>
      <c r="S491" s="49">
        <f>SUM(S487:S490)</f>
        <v>0</v>
      </c>
      <c r="T491" s="50">
        <f t="shared" si="240"/>
        <v>0</v>
      </c>
      <c r="U491" s="49">
        <f>SUM(U487:U490)</f>
        <v>0</v>
      </c>
      <c r="V491" s="50">
        <f t="shared" si="241"/>
        <v>0</v>
      </c>
      <c r="W491" s="49">
        <f>SUM(W487:W490)</f>
        <v>0</v>
      </c>
      <c r="X491" s="50">
        <f t="shared" si="242"/>
        <v>0</v>
      </c>
      <c r="Y491" s="49">
        <f>SUM(Y487:Y490)</f>
        <v>34935</v>
      </c>
      <c r="Z491" s="49">
        <f>SUM(Z487:Z490)</f>
        <v>36169</v>
      </c>
    </row>
    <row r="492" spans="1:26" ht="13.9" customHeight="1" x14ac:dyDescent="0.25">
      <c r="D492" s="51" t="s">
        <v>259</v>
      </c>
      <c r="E492" s="24">
        <v>640</v>
      </c>
      <c r="F492" s="24" t="s">
        <v>134</v>
      </c>
      <c r="G492" s="25">
        <v>0</v>
      </c>
      <c r="H492" s="25">
        <v>0</v>
      </c>
      <c r="I492" s="25">
        <v>0</v>
      </c>
      <c r="J492" s="25">
        <v>0</v>
      </c>
      <c r="K492" s="25">
        <v>285</v>
      </c>
      <c r="L492" s="25"/>
      <c r="M492" s="25"/>
      <c r="N492" s="25"/>
      <c r="O492" s="25"/>
      <c r="P492" s="25">
        <f>K492+SUM(L492:O492)</f>
        <v>285</v>
      </c>
      <c r="Q492" s="25">
        <v>0</v>
      </c>
      <c r="R492" s="26">
        <f t="shared" si="239"/>
        <v>0</v>
      </c>
      <c r="S492" s="25"/>
      <c r="T492" s="26">
        <f t="shared" si="240"/>
        <v>0</v>
      </c>
      <c r="U492" s="25"/>
      <c r="V492" s="26">
        <f t="shared" si="241"/>
        <v>0</v>
      </c>
      <c r="W492" s="25"/>
      <c r="X492" s="26">
        <f t="shared" si="242"/>
        <v>0</v>
      </c>
      <c r="Y492" s="25">
        <v>358</v>
      </c>
      <c r="Z492" s="25">
        <f>Y492</f>
        <v>358</v>
      </c>
    </row>
    <row r="493" spans="1:26" ht="13.9" customHeight="1" x14ac:dyDescent="0.25">
      <c r="D493" s="79" t="s">
        <v>21</v>
      </c>
      <c r="E493" s="48">
        <v>72</v>
      </c>
      <c r="F493" s="48" t="s">
        <v>25</v>
      </c>
      <c r="G493" s="49">
        <f t="shared" ref="G493:Q493" si="244">SUM(G492)</f>
        <v>0</v>
      </c>
      <c r="H493" s="49">
        <f t="shared" si="244"/>
        <v>0</v>
      </c>
      <c r="I493" s="49">
        <f t="shared" si="244"/>
        <v>0</v>
      </c>
      <c r="J493" s="49">
        <f t="shared" si="244"/>
        <v>0</v>
      </c>
      <c r="K493" s="49">
        <f t="shared" si="244"/>
        <v>285</v>
      </c>
      <c r="L493" s="49">
        <f t="shared" si="244"/>
        <v>0</v>
      </c>
      <c r="M493" s="49">
        <f t="shared" si="244"/>
        <v>0</v>
      </c>
      <c r="N493" s="49">
        <f t="shared" si="244"/>
        <v>0</v>
      </c>
      <c r="O493" s="49">
        <f t="shared" si="244"/>
        <v>0</v>
      </c>
      <c r="P493" s="49">
        <f t="shared" si="244"/>
        <v>285</v>
      </c>
      <c r="Q493" s="49">
        <f t="shared" si="244"/>
        <v>0</v>
      </c>
      <c r="R493" s="50">
        <f t="shared" si="239"/>
        <v>0</v>
      </c>
      <c r="S493" s="49">
        <f>SUM(S492)</f>
        <v>0</v>
      </c>
      <c r="T493" s="50">
        <f t="shared" si="240"/>
        <v>0</v>
      </c>
      <c r="U493" s="49">
        <f>SUM(U492)</f>
        <v>0</v>
      </c>
      <c r="V493" s="50">
        <f t="shared" si="241"/>
        <v>0</v>
      </c>
      <c r="W493" s="49">
        <f>SUM(W492)</f>
        <v>0</v>
      </c>
      <c r="X493" s="50">
        <f t="shared" si="242"/>
        <v>0</v>
      </c>
      <c r="Y493" s="49">
        <f>SUM(Y492)</f>
        <v>358</v>
      </c>
      <c r="Z493" s="49">
        <f>SUM(Z492)</f>
        <v>358</v>
      </c>
    </row>
    <row r="494" spans="1:26" ht="13.9" customHeight="1" x14ac:dyDescent="0.25">
      <c r="A494" s="15">
        <v>7</v>
      </c>
      <c r="B494" s="15">
        <v>1</v>
      </c>
      <c r="C494" s="15">
        <v>2</v>
      </c>
      <c r="D494" s="86"/>
      <c r="E494" s="87"/>
      <c r="F494" s="27" t="s">
        <v>126</v>
      </c>
      <c r="G494" s="28">
        <f t="shared" ref="G494:Q494" si="245">G491+G493</f>
        <v>1817</v>
      </c>
      <c r="H494" s="28">
        <f t="shared" si="245"/>
        <v>2904.05</v>
      </c>
      <c r="I494" s="28">
        <f t="shared" si="245"/>
        <v>3000</v>
      </c>
      <c r="J494" s="28">
        <f t="shared" si="245"/>
        <v>2737</v>
      </c>
      <c r="K494" s="28">
        <f t="shared" si="245"/>
        <v>28061</v>
      </c>
      <c r="L494" s="28">
        <f t="shared" si="245"/>
        <v>0</v>
      </c>
      <c r="M494" s="28">
        <f t="shared" si="245"/>
        <v>0</v>
      </c>
      <c r="N494" s="28">
        <f t="shared" si="245"/>
        <v>0</v>
      </c>
      <c r="O494" s="28">
        <f t="shared" si="245"/>
        <v>0</v>
      </c>
      <c r="P494" s="28">
        <f t="shared" si="245"/>
        <v>28061</v>
      </c>
      <c r="Q494" s="28">
        <f t="shared" si="245"/>
        <v>2761.4300000000003</v>
      </c>
      <c r="R494" s="29">
        <f t="shared" si="239"/>
        <v>9.8408110901250859E-2</v>
      </c>
      <c r="S494" s="28">
        <f>S491+S493</f>
        <v>0</v>
      </c>
      <c r="T494" s="29">
        <f t="shared" si="240"/>
        <v>0</v>
      </c>
      <c r="U494" s="28">
        <f>U491+U493</f>
        <v>0</v>
      </c>
      <c r="V494" s="29">
        <f t="shared" si="241"/>
        <v>0</v>
      </c>
      <c r="W494" s="28">
        <f>W491+W493</f>
        <v>0</v>
      </c>
      <c r="X494" s="29">
        <f t="shared" si="242"/>
        <v>0</v>
      </c>
      <c r="Y494" s="28">
        <f>Y491+Y493</f>
        <v>35293</v>
      </c>
      <c r="Z494" s="28">
        <f>Z491+Z493</f>
        <v>36527</v>
      </c>
    </row>
    <row r="495" spans="1:26" ht="13.9" customHeight="1" x14ac:dyDescent="0.25">
      <c r="D495" s="144"/>
      <c r="E495" s="145"/>
      <c r="F495" s="145"/>
      <c r="G495" s="146"/>
      <c r="H495" s="146"/>
      <c r="I495" s="146"/>
      <c r="J495" s="146"/>
      <c r="K495" s="146"/>
      <c r="L495" s="146"/>
      <c r="M495" s="146"/>
      <c r="N495" s="146"/>
      <c r="O495" s="146"/>
      <c r="P495" s="146"/>
      <c r="Q495" s="146"/>
      <c r="R495" s="147"/>
      <c r="S495" s="146"/>
      <c r="T495" s="147"/>
      <c r="U495" s="146"/>
      <c r="V495" s="147"/>
      <c r="W495" s="146"/>
      <c r="X495" s="147"/>
      <c r="Y495" s="146"/>
      <c r="Z495" s="146"/>
    </row>
    <row r="496" spans="1:26" ht="13.9" customHeight="1" x14ac:dyDescent="0.25">
      <c r="D496" s="144"/>
      <c r="E496" s="52" t="s">
        <v>55</v>
      </c>
      <c r="F496" s="30" t="s">
        <v>149</v>
      </c>
      <c r="G496" s="53"/>
      <c r="H496" s="53"/>
      <c r="I496" s="53"/>
      <c r="J496" s="53"/>
      <c r="K496" s="53">
        <v>920</v>
      </c>
      <c r="L496" s="53"/>
      <c r="M496" s="53"/>
      <c r="N496" s="53"/>
      <c r="O496" s="53"/>
      <c r="P496" s="53">
        <f>K496+SUM(L496:O496)</f>
        <v>920</v>
      </c>
      <c r="Q496" s="53">
        <v>0</v>
      </c>
      <c r="R496" s="54">
        <f>IFERROR(Q496/$P496,0)</f>
        <v>0</v>
      </c>
      <c r="S496" s="53"/>
      <c r="T496" s="54">
        <f>IFERROR(S496/$P496,0)</f>
        <v>0</v>
      </c>
      <c r="U496" s="53"/>
      <c r="V496" s="54">
        <f>IFERROR(U496/$P496,0)</f>
        <v>0</v>
      </c>
      <c r="W496" s="53"/>
      <c r="X496" s="55">
        <f>IFERROR(W496/$P496,0)</f>
        <v>0</v>
      </c>
      <c r="Y496" s="53">
        <f>K496*2</f>
        <v>1840</v>
      </c>
      <c r="Z496" s="56">
        <f>Y496</f>
        <v>1840</v>
      </c>
    </row>
    <row r="497" spans="1:26" ht="13.9" customHeight="1" x14ac:dyDescent="0.25">
      <c r="D497" s="144"/>
      <c r="E497" s="57"/>
      <c r="F497" s="92" t="s">
        <v>150</v>
      </c>
      <c r="G497" s="95"/>
      <c r="H497" s="95"/>
      <c r="I497" s="95"/>
      <c r="J497" s="95"/>
      <c r="K497" s="95">
        <v>1100</v>
      </c>
      <c r="L497" s="95">
        <v>-182</v>
      </c>
      <c r="M497" s="95"/>
      <c r="N497" s="95"/>
      <c r="O497" s="95"/>
      <c r="P497" s="95">
        <f>K497+SUM(L497:O497)</f>
        <v>918</v>
      </c>
      <c r="Q497" s="95">
        <v>0</v>
      </c>
      <c r="R497" s="96">
        <f>IFERROR(Q497/$P497,0)</f>
        <v>0</v>
      </c>
      <c r="S497" s="95"/>
      <c r="T497" s="96">
        <f>IFERROR(S497/$P497,0)</f>
        <v>0</v>
      </c>
      <c r="U497" s="95"/>
      <c r="V497" s="96">
        <f>IFERROR(U497/$P497,0)</f>
        <v>0</v>
      </c>
      <c r="W497" s="95"/>
      <c r="X497" s="60">
        <f>IFERROR(W497/$P497,0)</f>
        <v>0</v>
      </c>
      <c r="Y497" s="95">
        <f>K497*2</f>
        <v>2200</v>
      </c>
      <c r="Z497" s="61">
        <f>Y497</f>
        <v>2200</v>
      </c>
    </row>
    <row r="498" spans="1:26" ht="13.9" customHeight="1" x14ac:dyDescent="0.25">
      <c r="D498" s="144"/>
      <c r="E498" s="65"/>
      <c r="F498" s="97" t="s">
        <v>264</v>
      </c>
      <c r="G498" s="67"/>
      <c r="H498" s="67"/>
      <c r="I498" s="67">
        <v>3000</v>
      </c>
      <c r="J498" s="67">
        <v>2737</v>
      </c>
      <c r="K498" s="67">
        <v>3000</v>
      </c>
      <c r="L498" s="67"/>
      <c r="M498" s="67"/>
      <c r="N498" s="67"/>
      <c r="O498" s="67"/>
      <c r="P498" s="67">
        <f>K498+SUM(L498:O498)</f>
        <v>3000</v>
      </c>
      <c r="Q498" s="67">
        <v>0</v>
      </c>
      <c r="R498" s="68">
        <f>IFERROR(Q498/$P498,0)</f>
        <v>0</v>
      </c>
      <c r="S498" s="67"/>
      <c r="T498" s="68">
        <f>IFERROR(S498/$P498,0)</f>
        <v>0</v>
      </c>
      <c r="U498" s="67"/>
      <c r="V498" s="68">
        <f>IFERROR(U498/$P498,0)</f>
        <v>0</v>
      </c>
      <c r="W498" s="67"/>
      <c r="X498" s="69">
        <f>IFERROR(W498/$P498,0)</f>
        <v>0</v>
      </c>
      <c r="Y498" s="67">
        <f>K498</f>
        <v>3000</v>
      </c>
      <c r="Z498" s="70">
        <f>Y498</f>
        <v>3000</v>
      </c>
    </row>
    <row r="500" spans="1:26" ht="13.9" customHeight="1" x14ac:dyDescent="0.25">
      <c r="D500" s="41" t="s">
        <v>265</v>
      </c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2"/>
      <c r="S500" s="41"/>
      <c r="T500" s="42"/>
      <c r="U500" s="41"/>
      <c r="V500" s="42"/>
      <c r="W500" s="41"/>
      <c r="X500" s="42"/>
      <c r="Y500" s="41"/>
      <c r="Z500" s="41"/>
    </row>
    <row r="501" spans="1:26" ht="13.9" customHeight="1" x14ac:dyDescent="0.25">
      <c r="D501" s="21" t="s">
        <v>32</v>
      </c>
      <c r="E501" s="21" t="s">
        <v>33</v>
      </c>
      <c r="F501" s="21" t="s">
        <v>34</v>
      </c>
      <c r="G501" s="21" t="s">
        <v>1</v>
      </c>
      <c r="H501" s="21" t="s">
        <v>2</v>
      </c>
      <c r="I501" s="21" t="s">
        <v>3</v>
      </c>
      <c r="J501" s="21" t="s">
        <v>4</v>
      </c>
      <c r="K501" s="21" t="s">
        <v>5</v>
      </c>
      <c r="L501" s="21" t="s">
        <v>6</v>
      </c>
      <c r="M501" s="21" t="s">
        <v>7</v>
      </c>
      <c r="N501" s="21" t="s">
        <v>8</v>
      </c>
      <c r="O501" s="21" t="s">
        <v>9</v>
      </c>
      <c r="P501" s="21" t="s">
        <v>123</v>
      </c>
      <c r="Q501" s="21" t="s">
        <v>11</v>
      </c>
      <c r="R501" s="22" t="s">
        <v>12</v>
      </c>
      <c r="S501" s="21" t="s">
        <v>13</v>
      </c>
      <c r="T501" s="22" t="s">
        <v>14</v>
      </c>
      <c r="U501" s="21" t="s">
        <v>15</v>
      </c>
      <c r="V501" s="22" t="s">
        <v>16</v>
      </c>
      <c r="W501" s="21" t="s">
        <v>17</v>
      </c>
      <c r="X501" s="22" t="s">
        <v>18</v>
      </c>
      <c r="Y501" s="21" t="s">
        <v>19</v>
      </c>
      <c r="Z501" s="21" t="s">
        <v>20</v>
      </c>
    </row>
    <row r="502" spans="1:26" ht="13.9" customHeight="1" x14ac:dyDescent="0.25">
      <c r="A502" s="15">
        <v>7</v>
      </c>
      <c r="B502" s="15">
        <v>2</v>
      </c>
      <c r="D502" s="51" t="s">
        <v>266</v>
      </c>
      <c r="E502" s="24">
        <v>640</v>
      </c>
      <c r="F502" s="24" t="s">
        <v>134</v>
      </c>
      <c r="G502" s="46">
        <v>7865.27</v>
      </c>
      <c r="H502" s="46">
        <v>9209.2999999999993</v>
      </c>
      <c r="I502" s="46">
        <v>2880</v>
      </c>
      <c r="J502" s="46">
        <v>3485</v>
      </c>
      <c r="K502" s="46">
        <v>3600</v>
      </c>
      <c r="L502" s="46"/>
      <c r="M502" s="46"/>
      <c r="N502" s="46"/>
      <c r="O502" s="46"/>
      <c r="P502" s="46">
        <f>K502+SUM(L502:O502)</f>
        <v>3600</v>
      </c>
      <c r="Q502" s="46">
        <v>888</v>
      </c>
      <c r="R502" s="47">
        <f t="shared" ref="R502:R508" si="246">IFERROR(Q502/$P502,0)</f>
        <v>0.24666666666666667</v>
      </c>
      <c r="S502" s="46"/>
      <c r="T502" s="47">
        <f t="shared" ref="T502:T508" si="247">IFERROR(S502/$P502,0)</f>
        <v>0</v>
      </c>
      <c r="U502" s="46"/>
      <c r="V502" s="47">
        <f t="shared" ref="V502:V508" si="248">IFERROR(U502/$P502,0)</f>
        <v>0</v>
      </c>
      <c r="W502" s="46"/>
      <c r="X502" s="47">
        <f t="shared" ref="X502:X508" si="249">IFERROR(W502/$P502,0)</f>
        <v>0</v>
      </c>
      <c r="Y502" s="25">
        <f>K502</f>
        <v>3600</v>
      </c>
      <c r="Z502" s="25">
        <f>Y502</f>
        <v>3600</v>
      </c>
    </row>
    <row r="503" spans="1:26" ht="13.9" customHeight="1" x14ac:dyDescent="0.25">
      <c r="A503" s="15">
        <v>7</v>
      </c>
      <c r="B503" s="15">
        <v>2</v>
      </c>
      <c r="D503" s="2" t="s">
        <v>267</v>
      </c>
      <c r="E503" s="24">
        <v>630</v>
      </c>
      <c r="F503" s="24" t="s">
        <v>133</v>
      </c>
      <c r="G503" s="46">
        <v>30899.4</v>
      </c>
      <c r="H503" s="46">
        <v>2837.9</v>
      </c>
      <c r="I503" s="46">
        <v>0</v>
      </c>
      <c r="J503" s="46">
        <v>8700</v>
      </c>
      <c r="K503" s="46">
        <v>0</v>
      </c>
      <c r="L503" s="46">
        <v>9642</v>
      </c>
      <c r="M503" s="46"/>
      <c r="N503" s="46"/>
      <c r="O503" s="46"/>
      <c r="P503" s="46">
        <f>K503+SUM(L503:O503)</f>
        <v>9642</v>
      </c>
      <c r="Q503" s="46">
        <v>9641.5</v>
      </c>
      <c r="R503" s="47">
        <f t="shared" si="246"/>
        <v>0.99994814353868489</v>
      </c>
      <c r="S503" s="46"/>
      <c r="T503" s="47">
        <f t="shared" si="247"/>
        <v>0</v>
      </c>
      <c r="U503" s="46"/>
      <c r="V503" s="47">
        <f t="shared" si="248"/>
        <v>0</v>
      </c>
      <c r="W503" s="46"/>
      <c r="X503" s="47">
        <f t="shared" si="249"/>
        <v>0</v>
      </c>
      <c r="Y503" s="25">
        <v>0</v>
      </c>
      <c r="Z503" s="25">
        <f>Y503</f>
        <v>0</v>
      </c>
    </row>
    <row r="504" spans="1:26" ht="13.9" customHeight="1" x14ac:dyDescent="0.25">
      <c r="D504" s="2"/>
      <c r="E504" s="24">
        <v>640</v>
      </c>
      <c r="F504" s="24" t="s">
        <v>134</v>
      </c>
      <c r="G504" s="46">
        <v>22985.5</v>
      </c>
      <c r="H504" s="46">
        <v>44860</v>
      </c>
      <c r="I504" s="46">
        <v>4000</v>
      </c>
      <c r="J504" s="46">
        <v>58374</v>
      </c>
      <c r="K504" s="46">
        <v>0</v>
      </c>
      <c r="L504" s="46">
        <f>1956+3816</f>
        <v>5772</v>
      </c>
      <c r="M504" s="46"/>
      <c r="N504" s="46"/>
      <c r="O504" s="46"/>
      <c r="P504" s="46">
        <f>K504+SUM(L504:O504)</f>
        <v>5772</v>
      </c>
      <c r="Q504" s="46">
        <v>4902</v>
      </c>
      <c r="R504" s="47">
        <f t="shared" si="246"/>
        <v>0.84927234927234929</v>
      </c>
      <c r="S504" s="46"/>
      <c r="T504" s="47">
        <f t="shared" si="247"/>
        <v>0</v>
      </c>
      <c r="U504" s="46"/>
      <c r="V504" s="47">
        <f t="shared" si="248"/>
        <v>0</v>
      </c>
      <c r="W504" s="46"/>
      <c r="X504" s="47">
        <f t="shared" si="249"/>
        <v>0</v>
      </c>
      <c r="Y504" s="25">
        <v>0</v>
      </c>
      <c r="Z504" s="25">
        <f>Y504</f>
        <v>0</v>
      </c>
    </row>
    <row r="505" spans="1:26" ht="13.9" customHeight="1" x14ac:dyDescent="0.25">
      <c r="A505" s="15">
        <v>7</v>
      </c>
      <c r="B505" s="15">
        <v>2</v>
      </c>
      <c r="D505" s="79" t="s">
        <v>21</v>
      </c>
      <c r="E505" s="48" t="s">
        <v>268</v>
      </c>
      <c r="F505" s="48" t="s">
        <v>136</v>
      </c>
      <c r="G505" s="49">
        <f t="shared" ref="G505:Q505" si="250">SUM(G502:G504)</f>
        <v>61750.17</v>
      </c>
      <c r="H505" s="49">
        <f t="shared" si="250"/>
        <v>56907.199999999997</v>
      </c>
      <c r="I505" s="49">
        <f t="shared" si="250"/>
        <v>6880</v>
      </c>
      <c r="J505" s="49">
        <f t="shared" si="250"/>
        <v>70559</v>
      </c>
      <c r="K505" s="49">
        <f t="shared" si="250"/>
        <v>3600</v>
      </c>
      <c r="L505" s="49">
        <f t="shared" si="250"/>
        <v>15414</v>
      </c>
      <c r="M505" s="49">
        <f t="shared" si="250"/>
        <v>0</v>
      </c>
      <c r="N505" s="49">
        <f t="shared" si="250"/>
        <v>0</v>
      </c>
      <c r="O505" s="49">
        <f t="shared" si="250"/>
        <v>0</v>
      </c>
      <c r="P505" s="49">
        <f t="shared" si="250"/>
        <v>19014</v>
      </c>
      <c r="Q505" s="49">
        <f t="shared" si="250"/>
        <v>15431.5</v>
      </c>
      <c r="R505" s="50">
        <f t="shared" si="246"/>
        <v>0.81158619964236878</v>
      </c>
      <c r="S505" s="49">
        <f>SUM(S502:S504)</f>
        <v>0</v>
      </c>
      <c r="T505" s="50">
        <f t="shared" si="247"/>
        <v>0</v>
      </c>
      <c r="U505" s="49">
        <f>SUM(U502:U504)</f>
        <v>0</v>
      </c>
      <c r="V505" s="50">
        <f t="shared" si="248"/>
        <v>0</v>
      </c>
      <c r="W505" s="49">
        <f>SUM(W502:W504)</f>
        <v>0</v>
      </c>
      <c r="X505" s="50">
        <f t="shared" si="249"/>
        <v>0</v>
      </c>
      <c r="Y505" s="49">
        <f>SUM(Y502:Y504)</f>
        <v>3600</v>
      </c>
      <c r="Z505" s="49">
        <f>SUM(Z502:Z504)</f>
        <v>3600</v>
      </c>
    </row>
    <row r="506" spans="1:26" ht="13.9" customHeight="1" x14ac:dyDescent="0.25">
      <c r="A506" s="15">
        <v>7</v>
      </c>
      <c r="B506" s="15">
        <v>2</v>
      </c>
      <c r="D506" s="148" t="s">
        <v>266</v>
      </c>
      <c r="E506" s="24">
        <v>640</v>
      </c>
      <c r="F506" s="24" t="s">
        <v>134</v>
      </c>
      <c r="G506" s="25">
        <v>3600</v>
      </c>
      <c r="H506" s="25">
        <v>1800</v>
      </c>
      <c r="I506" s="25">
        <v>3000</v>
      </c>
      <c r="J506" s="25">
        <v>3100</v>
      </c>
      <c r="K506" s="25">
        <v>3000</v>
      </c>
      <c r="L506" s="25"/>
      <c r="M506" s="25"/>
      <c r="N506" s="25"/>
      <c r="O506" s="25"/>
      <c r="P506" s="25">
        <f>K506+SUM(L506:O506)</f>
        <v>3000</v>
      </c>
      <c r="Q506" s="25">
        <v>100</v>
      </c>
      <c r="R506" s="26">
        <f t="shared" si="246"/>
        <v>3.3333333333333333E-2</v>
      </c>
      <c r="S506" s="25"/>
      <c r="T506" s="26">
        <f t="shared" si="247"/>
        <v>0</v>
      </c>
      <c r="U506" s="25"/>
      <c r="V506" s="26">
        <f t="shared" si="248"/>
        <v>0</v>
      </c>
      <c r="W506" s="25"/>
      <c r="X506" s="26">
        <f t="shared" si="249"/>
        <v>0</v>
      </c>
      <c r="Y506" s="25">
        <f>K506</f>
        <v>3000</v>
      </c>
      <c r="Z506" s="25">
        <f>Y506</f>
        <v>3000</v>
      </c>
    </row>
    <row r="507" spans="1:26" ht="13.9" customHeight="1" x14ac:dyDescent="0.25">
      <c r="A507" s="15">
        <v>7</v>
      </c>
      <c r="B507" s="15">
        <v>2</v>
      </c>
      <c r="D507" s="79" t="s">
        <v>21</v>
      </c>
      <c r="E507" s="48">
        <v>41</v>
      </c>
      <c r="F507" s="48" t="s">
        <v>23</v>
      </c>
      <c r="G507" s="49">
        <f t="shared" ref="G507:Q507" si="251">SUM(G506)</f>
        <v>3600</v>
      </c>
      <c r="H507" s="49">
        <f t="shared" si="251"/>
        <v>1800</v>
      </c>
      <c r="I507" s="49">
        <f t="shared" si="251"/>
        <v>3000</v>
      </c>
      <c r="J507" s="49">
        <f t="shared" si="251"/>
        <v>3100</v>
      </c>
      <c r="K507" s="49">
        <f t="shared" si="251"/>
        <v>3000</v>
      </c>
      <c r="L507" s="49">
        <f t="shared" si="251"/>
        <v>0</v>
      </c>
      <c r="M507" s="49">
        <f t="shared" si="251"/>
        <v>0</v>
      </c>
      <c r="N507" s="49">
        <f t="shared" si="251"/>
        <v>0</v>
      </c>
      <c r="O507" s="49">
        <f t="shared" si="251"/>
        <v>0</v>
      </c>
      <c r="P507" s="49">
        <f t="shared" si="251"/>
        <v>3000</v>
      </c>
      <c r="Q507" s="49">
        <f t="shared" si="251"/>
        <v>100</v>
      </c>
      <c r="R507" s="50">
        <f t="shared" si="246"/>
        <v>3.3333333333333333E-2</v>
      </c>
      <c r="S507" s="49">
        <f>SUM(S506)</f>
        <v>0</v>
      </c>
      <c r="T507" s="50">
        <f t="shared" si="247"/>
        <v>0</v>
      </c>
      <c r="U507" s="49">
        <f>SUM(U506)</f>
        <v>0</v>
      </c>
      <c r="V507" s="50">
        <f t="shared" si="248"/>
        <v>0</v>
      </c>
      <c r="W507" s="49">
        <f>SUM(W506)</f>
        <v>0</v>
      </c>
      <c r="X507" s="50">
        <f t="shared" si="249"/>
        <v>0</v>
      </c>
      <c r="Y507" s="49">
        <f>SUM(Y506)</f>
        <v>3000</v>
      </c>
      <c r="Z507" s="49">
        <f>SUM(Z506)</f>
        <v>3000</v>
      </c>
    </row>
    <row r="508" spans="1:26" ht="13.9" customHeight="1" x14ac:dyDescent="0.25">
      <c r="A508" s="15">
        <v>7</v>
      </c>
      <c r="B508" s="15">
        <v>2</v>
      </c>
      <c r="D508" s="30"/>
      <c r="E508" s="31"/>
      <c r="F508" s="27" t="s">
        <v>126</v>
      </c>
      <c r="G508" s="28">
        <f t="shared" ref="G508:Q508" si="252">G505+G507</f>
        <v>65350.17</v>
      </c>
      <c r="H508" s="28">
        <f t="shared" si="252"/>
        <v>58707.199999999997</v>
      </c>
      <c r="I508" s="28">
        <f t="shared" si="252"/>
        <v>9880</v>
      </c>
      <c r="J508" s="28">
        <f t="shared" si="252"/>
        <v>73659</v>
      </c>
      <c r="K508" s="28">
        <f t="shared" si="252"/>
        <v>6600</v>
      </c>
      <c r="L508" s="28">
        <f t="shared" si="252"/>
        <v>15414</v>
      </c>
      <c r="M508" s="28">
        <f t="shared" si="252"/>
        <v>0</v>
      </c>
      <c r="N508" s="28">
        <f t="shared" si="252"/>
        <v>0</v>
      </c>
      <c r="O508" s="28">
        <f t="shared" si="252"/>
        <v>0</v>
      </c>
      <c r="P508" s="28">
        <f t="shared" si="252"/>
        <v>22014</v>
      </c>
      <c r="Q508" s="28">
        <f t="shared" si="252"/>
        <v>15531.5</v>
      </c>
      <c r="R508" s="29">
        <f t="shared" si="246"/>
        <v>0.70552830017261747</v>
      </c>
      <c r="S508" s="28">
        <f>S505+S507</f>
        <v>0</v>
      </c>
      <c r="T508" s="29">
        <f t="shared" si="247"/>
        <v>0</v>
      </c>
      <c r="U508" s="28">
        <f>U505+U507</f>
        <v>0</v>
      </c>
      <c r="V508" s="29">
        <f t="shared" si="248"/>
        <v>0</v>
      </c>
      <c r="W508" s="28">
        <f>W505+W507</f>
        <v>0</v>
      </c>
      <c r="X508" s="29">
        <f t="shared" si="249"/>
        <v>0</v>
      </c>
      <c r="Y508" s="28">
        <f>Y505+Y507</f>
        <v>6600</v>
      </c>
      <c r="Z508" s="28">
        <f>Z505+Z507</f>
        <v>6600</v>
      </c>
    </row>
    <row r="510" spans="1:26" ht="13.9" customHeight="1" x14ac:dyDescent="0.25">
      <c r="E510" s="52" t="s">
        <v>55</v>
      </c>
      <c r="F510" s="30" t="s">
        <v>269</v>
      </c>
      <c r="G510" s="53">
        <v>3600</v>
      </c>
      <c r="H510" s="53">
        <v>1800</v>
      </c>
      <c r="I510" s="53">
        <v>3000</v>
      </c>
      <c r="J510" s="53">
        <v>3100</v>
      </c>
      <c r="K510" s="53">
        <v>3000</v>
      </c>
      <c r="L510" s="53"/>
      <c r="M510" s="53"/>
      <c r="N510" s="53"/>
      <c r="O510" s="53"/>
      <c r="P510" s="53">
        <f>K510+SUM(L510:O510)</f>
        <v>3000</v>
      </c>
      <c r="Q510" s="53">
        <v>100</v>
      </c>
      <c r="R510" s="54">
        <f>IFERROR(Q510/$P510,0)</f>
        <v>3.3333333333333333E-2</v>
      </c>
      <c r="S510" s="53"/>
      <c r="T510" s="54">
        <f>IFERROR(S510/$P510,0)</f>
        <v>0</v>
      </c>
      <c r="U510" s="53"/>
      <c r="V510" s="54">
        <f>IFERROR(U510/$P510,0)</f>
        <v>0</v>
      </c>
      <c r="W510" s="53"/>
      <c r="X510" s="55">
        <f>IFERROR(W510/$P510,0)</f>
        <v>0</v>
      </c>
      <c r="Y510" s="53">
        <f>K510</f>
        <v>3000</v>
      </c>
      <c r="Z510" s="56">
        <f>Y510</f>
        <v>3000</v>
      </c>
    </row>
    <row r="511" spans="1:26" ht="13.9" customHeight="1" x14ac:dyDescent="0.25">
      <c r="E511" s="57"/>
      <c r="F511" s="92" t="s">
        <v>82</v>
      </c>
      <c r="G511" s="95">
        <v>7865.27</v>
      </c>
      <c r="H511" s="95">
        <v>9209.2999999999993</v>
      </c>
      <c r="I511" s="95">
        <f>príjmy!F95</f>
        <v>2880</v>
      </c>
      <c r="J511" s="95">
        <v>3420</v>
      </c>
      <c r="K511" s="95">
        <v>3600</v>
      </c>
      <c r="L511" s="95"/>
      <c r="M511" s="95"/>
      <c r="N511" s="95"/>
      <c r="O511" s="95"/>
      <c r="P511" s="95">
        <f>K511+SUM(L511:O511)</f>
        <v>3600</v>
      </c>
      <c r="Q511" s="95">
        <v>888</v>
      </c>
      <c r="R511" s="96">
        <f>IFERROR(Q511/$P511,0)</f>
        <v>0.24666666666666667</v>
      </c>
      <c r="S511" s="95"/>
      <c r="T511" s="96">
        <f>IFERROR(S511/$P511,0)</f>
        <v>0</v>
      </c>
      <c r="U511" s="95"/>
      <c r="V511" s="96">
        <f>IFERROR(U511/$P511,0)</f>
        <v>0</v>
      </c>
      <c r="W511" s="95"/>
      <c r="X511" s="60">
        <f>IFERROR(W511/$P511,0)</f>
        <v>0</v>
      </c>
      <c r="Y511" s="95">
        <f>K511</f>
        <v>3600</v>
      </c>
      <c r="Z511" s="61">
        <f>Y511</f>
        <v>3600</v>
      </c>
    </row>
    <row r="512" spans="1:26" ht="13.9" customHeight="1" x14ac:dyDescent="0.25">
      <c r="E512" s="57"/>
      <c r="F512" s="92" t="s">
        <v>270</v>
      </c>
      <c r="G512" s="95">
        <v>30899.4</v>
      </c>
      <c r="H512" s="95">
        <v>2837.9</v>
      </c>
      <c r="I512" s="95">
        <v>0</v>
      </c>
      <c r="J512" s="95">
        <v>8700</v>
      </c>
      <c r="K512" s="95">
        <v>0</v>
      </c>
      <c r="L512" s="95">
        <v>9642</v>
      </c>
      <c r="M512" s="95"/>
      <c r="N512" s="95"/>
      <c r="O512" s="95"/>
      <c r="P512" s="95">
        <f>K512+SUM(L512:O512)</f>
        <v>9642</v>
      </c>
      <c r="Q512" s="95">
        <v>9641.5</v>
      </c>
      <c r="R512" s="96">
        <f>IFERROR(Q512/$P512,0)</f>
        <v>0.99994814353868489</v>
      </c>
      <c r="S512" s="95"/>
      <c r="T512" s="96">
        <f>IFERROR(S512/$P512,0)</f>
        <v>0</v>
      </c>
      <c r="U512" s="95"/>
      <c r="V512" s="96">
        <f>IFERROR(U512/$P512,0)</f>
        <v>0</v>
      </c>
      <c r="W512" s="95"/>
      <c r="X512" s="60">
        <f>IFERROR(W512/$P512,0)</f>
        <v>0</v>
      </c>
      <c r="Y512" s="95">
        <f>K512</f>
        <v>0</v>
      </c>
      <c r="Z512" s="61">
        <f>Y512</f>
        <v>0</v>
      </c>
    </row>
    <row r="513" spans="1:26" ht="13.9" customHeight="1" x14ac:dyDescent="0.25">
      <c r="E513" s="65"/>
      <c r="F513" s="97" t="s">
        <v>87</v>
      </c>
      <c r="G513" s="67">
        <v>22985.5</v>
      </c>
      <c r="H513" s="67">
        <v>44860</v>
      </c>
      <c r="I513" s="67">
        <f>príjmy!F100</f>
        <v>4000</v>
      </c>
      <c r="J513" s="67">
        <v>58374</v>
      </c>
      <c r="K513" s="67">
        <v>0</v>
      </c>
      <c r="L513" s="67">
        <v>5772</v>
      </c>
      <c r="M513" s="67"/>
      <c r="N513" s="67"/>
      <c r="O513" s="67"/>
      <c r="P513" s="67">
        <f>K513+SUM(L513:O513)</f>
        <v>5772</v>
      </c>
      <c r="Q513" s="67">
        <v>4902</v>
      </c>
      <c r="R513" s="68">
        <f>IFERROR(Q513/$P513,0)</f>
        <v>0.84927234927234929</v>
      </c>
      <c r="S513" s="67"/>
      <c r="T513" s="68">
        <f>IFERROR(S513/$P513,0)</f>
        <v>0</v>
      </c>
      <c r="U513" s="67"/>
      <c r="V513" s="68">
        <f>IFERROR(U513/$P513,0)</f>
        <v>0</v>
      </c>
      <c r="W513" s="67"/>
      <c r="X513" s="69">
        <f>IFERROR(W513/$P513,0)</f>
        <v>0</v>
      </c>
      <c r="Y513" s="67">
        <f>K513</f>
        <v>0</v>
      </c>
      <c r="Z513" s="70">
        <f>Y513</f>
        <v>0</v>
      </c>
    </row>
    <row r="515" spans="1:26" ht="13.9" customHeight="1" x14ac:dyDescent="0.25">
      <c r="D515" s="32" t="s">
        <v>271</v>
      </c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3"/>
      <c r="S515" s="32"/>
      <c r="T515" s="33"/>
      <c r="U515" s="32"/>
      <c r="V515" s="33"/>
      <c r="W515" s="32"/>
      <c r="X515" s="33"/>
      <c r="Y515" s="32"/>
      <c r="Z515" s="32"/>
    </row>
    <row r="516" spans="1:26" ht="13.9" customHeight="1" x14ac:dyDescent="0.25">
      <c r="D516" s="20"/>
      <c r="E516" s="20"/>
      <c r="F516" s="20"/>
      <c r="G516" s="21" t="s">
        <v>1</v>
      </c>
      <c r="H516" s="21" t="s">
        <v>2</v>
      </c>
      <c r="I516" s="21" t="s">
        <v>3</v>
      </c>
      <c r="J516" s="21" t="s">
        <v>4</v>
      </c>
      <c r="K516" s="21" t="s">
        <v>5</v>
      </c>
      <c r="L516" s="21" t="s">
        <v>6</v>
      </c>
      <c r="M516" s="21" t="s">
        <v>7</v>
      </c>
      <c r="N516" s="21" t="s">
        <v>8</v>
      </c>
      <c r="O516" s="21" t="s">
        <v>9</v>
      </c>
      <c r="P516" s="21" t="s">
        <v>123</v>
      </c>
      <c r="Q516" s="21" t="s">
        <v>11</v>
      </c>
      <c r="R516" s="22" t="s">
        <v>12</v>
      </c>
      <c r="S516" s="21" t="s">
        <v>13</v>
      </c>
      <c r="T516" s="22" t="s">
        <v>14</v>
      </c>
      <c r="U516" s="21" t="s">
        <v>15</v>
      </c>
      <c r="V516" s="22" t="s">
        <v>16</v>
      </c>
      <c r="W516" s="21" t="s">
        <v>17</v>
      </c>
      <c r="X516" s="22" t="s">
        <v>18</v>
      </c>
      <c r="Y516" s="21" t="s">
        <v>19</v>
      </c>
      <c r="Z516" s="21" t="s">
        <v>20</v>
      </c>
    </row>
    <row r="517" spans="1:26" ht="13.9" customHeight="1" x14ac:dyDescent="0.25">
      <c r="A517" s="15">
        <v>8</v>
      </c>
      <c r="D517" s="12" t="s">
        <v>21</v>
      </c>
      <c r="E517" s="35">
        <v>111</v>
      </c>
      <c r="F517" s="35" t="s">
        <v>45</v>
      </c>
      <c r="G517" s="36">
        <f t="shared" ref="G517:Q517" si="253">G532+G561+G573+G588+G603</f>
        <v>190577.56</v>
      </c>
      <c r="H517" s="36">
        <f t="shared" si="253"/>
        <v>150933.32999999999</v>
      </c>
      <c r="I517" s="36">
        <f t="shared" si="253"/>
        <v>962500</v>
      </c>
      <c r="J517" s="36">
        <f t="shared" si="253"/>
        <v>199376</v>
      </c>
      <c r="K517" s="36">
        <f t="shared" si="253"/>
        <v>998572</v>
      </c>
      <c r="L517" s="36">
        <f t="shared" si="253"/>
        <v>0</v>
      </c>
      <c r="M517" s="36">
        <f t="shared" si="253"/>
        <v>0</v>
      </c>
      <c r="N517" s="36">
        <f t="shared" si="253"/>
        <v>0</v>
      </c>
      <c r="O517" s="36">
        <f t="shared" si="253"/>
        <v>0</v>
      </c>
      <c r="P517" s="36">
        <f t="shared" si="253"/>
        <v>998572</v>
      </c>
      <c r="Q517" s="36">
        <f t="shared" si="253"/>
        <v>161491.31</v>
      </c>
      <c r="R517" s="37">
        <f>IFERROR(Q517/$P517,0)</f>
        <v>0.16172224937210336</v>
      </c>
      <c r="S517" s="36">
        <f>S532+S561+S573+S588+S603</f>
        <v>0</v>
      </c>
      <c r="T517" s="37">
        <f>IFERROR(S517/$P517,0)</f>
        <v>0</v>
      </c>
      <c r="U517" s="36">
        <f>U532+U561+U573+U588+U603</f>
        <v>0</v>
      </c>
      <c r="V517" s="37">
        <f>IFERROR(U517/$P517,0)</f>
        <v>0</v>
      </c>
      <c r="W517" s="36">
        <f>W532+W561+W573+W588+W603</f>
        <v>0</v>
      </c>
      <c r="X517" s="37">
        <f>IFERROR(W517/$P517,0)</f>
        <v>0</v>
      </c>
      <c r="Y517" s="36">
        <f>Y532+Y561+Y573+Y588+Y603</f>
        <v>0</v>
      </c>
      <c r="Z517" s="36">
        <f>Z532+Z561+Z573+Z588+Z603</f>
        <v>0</v>
      </c>
    </row>
    <row r="518" spans="1:26" ht="13.9" customHeight="1" x14ac:dyDescent="0.25">
      <c r="A518" s="15">
        <v>8</v>
      </c>
      <c r="D518" s="12"/>
      <c r="E518" s="35">
        <v>41</v>
      </c>
      <c r="F518" s="35" t="s">
        <v>23</v>
      </c>
      <c r="G518" s="36">
        <f t="shared" ref="G518:Q518" si="254">G524+G533+G549+G562+G574+G589+G604+G613</f>
        <v>776952.59000000008</v>
      </c>
      <c r="H518" s="36">
        <f t="shared" si="254"/>
        <v>614423.27</v>
      </c>
      <c r="I518" s="36">
        <f t="shared" si="254"/>
        <v>512000</v>
      </c>
      <c r="J518" s="36">
        <f t="shared" si="254"/>
        <v>378964</v>
      </c>
      <c r="K518" s="36">
        <f t="shared" si="254"/>
        <v>666456</v>
      </c>
      <c r="L518" s="36">
        <f t="shared" si="254"/>
        <v>0</v>
      </c>
      <c r="M518" s="36">
        <f t="shared" si="254"/>
        <v>0</v>
      </c>
      <c r="N518" s="36">
        <f t="shared" si="254"/>
        <v>0</v>
      </c>
      <c r="O518" s="36">
        <f t="shared" si="254"/>
        <v>0</v>
      </c>
      <c r="P518" s="36">
        <f t="shared" si="254"/>
        <v>666456</v>
      </c>
      <c r="Q518" s="36">
        <f t="shared" si="254"/>
        <v>1284.6000000000058</v>
      </c>
      <c r="R518" s="37">
        <f>IFERROR(Q518/$P518,0)</f>
        <v>1.9275090928733568E-3</v>
      </c>
      <c r="S518" s="36">
        <f>S524+S533+S549+S562+S574+S589+S604+S613</f>
        <v>0</v>
      </c>
      <c r="T518" s="37">
        <f>IFERROR(S518/$P518,0)</f>
        <v>0</v>
      </c>
      <c r="U518" s="36">
        <f>U524+U533+U549+U562+U574+U589+U604+U613</f>
        <v>0</v>
      </c>
      <c r="V518" s="37">
        <f>IFERROR(U518/$P518,0)</f>
        <v>0</v>
      </c>
      <c r="W518" s="36">
        <f>W524+W533+W549+W562+W574+W589+W604+W613</f>
        <v>0</v>
      </c>
      <c r="X518" s="37">
        <f>IFERROR(W518/$P518,0)</f>
        <v>0</v>
      </c>
      <c r="Y518" s="36">
        <f>Y524+Y533+Y549+Y562+Y574+Y589+Y604+Y613</f>
        <v>626228</v>
      </c>
      <c r="Z518" s="36">
        <f>Z524+Z533+Z549+Z562+Z574+Z589+Z604+Z613</f>
        <v>665170</v>
      </c>
    </row>
    <row r="519" spans="1:26" ht="13.9" customHeight="1" x14ac:dyDescent="0.25">
      <c r="D519" s="12"/>
      <c r="E519" s="35">
        <v>71</v>
      </c>
      <c r="F519" s="35" t="s">
        <v>24</v>
      </c>
      <c r="G519" s="36">
        <f t="shared" ref="G519:Q519" si="255">G590</f>
        <v>0</v>
      </c>
      <c r="H519" s="36">
        <f t="shared" si="255"/>
        <v>0</v>
      </c>
      <c r="I519" s="36">
        <f t="shared" si="255"/>
        <v>0</v>
      </c>
      <c r="J519" s="36">
        <f t="shared" si="255"/>
        <v>0</v>
      </c>
      <c r="K519" s="36">
        <f t="shared" si="255"/>
        <v>6000</v>
      </c>
      <c r="L519" s="36">
        <f t="shared" si="255"/>
        <v>0</v>
      </c>
      <c r="M519" s="36">
        <f t="shared" si="255"/>
        <v>0</v>
      </c>
      <c r="N519" s="36">
        <f t="shared" si="255"/>
        <v>0</v>
      </c>
      <c r="O519" s="36">
        <f t="shared" si="255"/>
        <v>0</v>
      </c>
      <c r="P519" s="36">
        <f t="shared" si="255"/>
        <v>6000</v>
      </c>
      <c r="Q519" s="36">
        <f t="shared" si="255"/>
        <v>0</v>
      </c>
      <c r="R519" s="37">
        <f>IFERROR(Q519/$P519,0)</f>
        <v>0</v>
      </c>
      <c r="S519" s="36">
        <f>S590</f>
        <v>0</v>
      </c>
      <c r="T519" s="37">
        <f>IFERROR(S519/$P519,0)</f>
        <v>0</v>
      </c>
      <c r="U519" s="36">
        <f>U590</f>
        <v>0</v>
      </c>
      <c r="V519" s="37">
        <f>IFERROR(U519/$P519,0)</f>
        <v>0</v>
      </c>
      <c r="W519" s="36">
        <f>W590</f>
        <v>0</v>
      </c>
      <c r="X519" s="37">
        <f>IFERROR(W519/$P519,0)</f>
        <v>0</v>
      </c>
      <c r="Y519" s="36">
        <f>Y590</f>
        <v>0</v>
      </c>
      <c r="Z519" s="36">
        <f>Z590</f>
        <v>0</v>
      </c>
    </row>
    <row r="520" spans="1:26" ht="13.9" customHeight="1" x14ac:dyDescent="0.25">
      <c r="A520" s="15">
        <v>8</v>
      </c>
      <c r="D520" s="30"/>
      <c r="E520" s="31"/>
      <c r="F520" s="38" t="s">
        <v>126</v>
      </c>
      <c r="G520" s="39">
        <f t="shared" ref="G520:Q520" si="256">SUM(G517:G519)</f>
        <v>967530.15000000014</v>
      </c>
      <c r="H520" s="39">
        <f t="shared" si="256"/>
        <v>765356.6</v>
      </c>
      <c r="I520" s="39">
        <f t="shared" si="256"/>
        <v>1474500</v>
      </c>
      <c r="J520" s="39">
        <f t="shared" si="256"/>
        <v>578340</v>
      </c>
      <c r="K520" s="39">
        <f t="shared" si="256"/>
        <v>1671028</v>
      </c>
      <c r="L520" s="39">
        <f t="shared" si="256"/>
        <v>0</v>
      </c>
      <c r="M520" s="39">
        <f t="shared" si="256"/>
        <v>0</v>
      </c>
      <c r="N520" s="39">
        <f t="shared" si="256"/>
        <v>0</v>
      </c>
      <c r="O520" s="39">
        <f t="shared" si="256"/>
        <v>0</v>
      </c>
      <c r="P520" s="39">
        <f t="shared" si="256"/>
        <v>1671028</v>
      </c>
      <c r="Q520" s="39">
        <f t="shared" si="256"/>
        <v>162775.91</v>
      </c>
      <c r="R520" s="40">
        <f>IFERROR(Q520/$P520,0)</f>
        <v>9.7410641832452835E-2</v>
      </c>
      <c r="S520" s="39">
        <f>SUM(S517:S519)</f>
        <v>0</v>
      </c>
      <c r="T520" s="40">
        <f>IFERROR(S520/$P520,0)</f>
        <v>0</v>
      </c>
      <c r="U520" s="39">
        <f>SUM(U517:U519)</f>
        <v>0</v>
      </c>
      <c r="V520" s="40">
        <f>IFERROR(U520/$P520,0)</f>
        <v>0</v>
      </c>
      <c r="W520" s="39">
        <f>SUM(W517:W519)</f>
        <v>0</v>
      </c>
      <c r="X520" s="40">
        <f>IFERROR(W520/$P520,0)</f>
        <v>0</v>
      </c>
      <c r="Y520" s="39">
        <f>SUM(Y517:Y519)</f>
        <v>626228</v>
      </c>
      <c r="Z520" s="39">
        <f>SUM(Z517:Z519)</f>
        <v>665170</v>
      </c>
    </row>
    <row r="522" spans="1:26" ht="13.9" hidden="1" customHeight="1" x14ac:dyDescent="0.25">
      <c r="D522" s="41" t="s">
        <v>272</v>
      </c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2"/>
      <c r="S522" s="41"/>
      <c r="T522" s="42"/>
      <c r="U522" s="41"/>
      <c r="V522" s="42"/>
      <c r="W522" s="41"/>
      <c r="X522" s="42"/>
      <c r="Y522" s="41"/>
      <c r="Z522" s="41"/>
    </row>
    <row r="523" spans="1:26" ht="13.9" hidden="1" customHeight="1" x14ac:dyDescent="0.25">
      <c r="D523" s="149"/>
      <c r="E523" s="21"/>
      <c r="F523" s="21"/>
      <c r="G523" s="21" t="s">
        <v>1</v>
      </c>
      <c r="H523" s="21" t="s">
        <v>2</v>
      </c>
      <c r="I523" s="21" t="s">
        <v>3</v>
      </c>
      <c r="J523" s="21" t="s">
        <v>4</v>
      </c>
      <c r="K523" s="21" t="s">
        <v>5</v>
      </c>
      <c r="L523" s="21" t="s">
        <v>6</v>
      </c>
      <c r="M523" s="21" t="s">
        <v>7</v>
      </c>
      <c r="N523" s="21" t="s">
        <v>8</v>
      </c>
      <c r="O523" s="21" t="s">
        <v>9</v>
      </c>
      <c r="P523" s="21" t="s">
        <v>123</v>
      </c>
      <c r="Q523" s="21" t="s">
        <v>11</v>
      </c>
      <c r="R523" s="22" t="s">
        <v>12</v>
      </c>
      <c r="S523" s="21" t="s">
        <v>13</v>
      </c>
      <c r="T523" s="22" t="s">
        <v>14</v>
      </c>
      <c r="U523" s="21" t="s">
        <v>15</v>
      </c>
      <c r="V523" s="22" t="s">
        <v>16</v>
      </c>
      <c r="W523" s="21" t="s">
        <v>17</v>
      </c>
      <c r="X523" s="22" t="s">
        <v>18</v>
      </c>
      <c r="Y523" s="21" t="s">
        <v>19</v>
      </c>
      <c r="Z523" s="21" t="s">
        <v>20</v>
      </c>
    </row>
    <row r="524" spans="1:26" ht="13.9" hidden="1" customHeight="1" x14ac:dyDescent="0.25">
      <c r="A524" s="15">
        <v>8</v>
      </c>
      <c r="B524" s="15">
        <v>1</v>
      </c>
      <c r="D524" s="43" t="s">
        <v>21</v>
      </c>
      <c r="E524" s="24">
        <v>41</v>
      </c>
      <c r="F524" s="24" t="s">
        <v>23</v>
      </c>
      <c r="G524" s="25">
        <f t="shared" ref="G524:Q524" si="257">SUM(G528)</f>
        <v>3862.5</v>
      </c>
      <c r="H524" s="25">
        <f t="shared" si="257"/>
        <v>0</v>
      </c>
      <c r="I524" s="25">
        <f t="shared" si="257"/>
        <v>0</v>
      </c>
      <c r="J524" s="25">
        <f t="shared" si="257"/>
        <v>0</v>
      </c>
      <c r="K524" s="25">
        <f t="shared" si="257"/>
        <v>0</v>
      </c>
      <c r="L524" s="25">
        <f t="shared" si="257"/>
        <v>0</v>
      </c>
      <c r="M524" s="25">
        <f t="shared" si="257"/>
        <v>0</v>
      </c>
      <c r="N524" s="25">
        <f t="shared" si="257"/>
        <v>0</v>
      </c>
      <c r="O524" s="25">
        <f t="shared" si="257"/>
        <v>0</v>
      </c>
      <c r="P524" s="25">
        <f t="shared" si="257"/>
        <v>0</v>
      </c>
      <c r="Q524" s="25">
        <f t="shared" si="257"/>
        <v>0</v>
      </c>
      <c r="R524" s="26">
        <f>IFERROR(Q524/$P524,0)</f>
        <v>0</v>
      </c>
      <c r="S524" s="25">
        <f>SUM(S528)</f>
        <v>0</v>
      </c>
      <c r="T524" s="26">
        <f>IFERROR(S524/$P524,0)</f>
        <v>0</v>
      </c>
      <c r="U524" s="25">
        <f>SUM(U528)</f>
        <v>0</v>
      </c>
      <c r="V524" s="26">
        <f>IFERROR(U524/$P524,0)</f>
        <v>0</v>
      </c>
      <c r="W524" s="25">
        <f>SUM(W528)</f>
        <v>0</v>
      </c>
      <c r="X524" s="26">
        <f>IFERROR(W524/$P524,0)</f>
        <v>0</v>
      </c>
      <c r="Y524" s="25">
        <f>SUM(Y528)</f>
        <v>0</v>
      </c>
      <c r="Z524" s="25">
        <f>SUM(Z528)</f>
        <v>0</v>
      </c>
    </row>
    <row r="525" spans="1:26" ht="13.9" hidden="1" customHeight="1" x14ac:dyDescent="0.25">
      <c r="A525" s="15">
        <v>8</v>
      </c>
      <c r="B525" s="15">
        <v>1</v>
      </c>
      <c r="D525" s="30"/>
      <c r="E525" s="31"/>
      <c r="F525" s="27" t="s">
        <v>126</v>
      </c>
      <c r="G525" s="28">
        <f t="shared" ref="G525:Q525" si="258">SUM(G524)</f>
        <v>3862.5</v>
      </c>
      <c r="H525" s="28">
        <f t="shared" si="258"/>
        <v>0</v>
      </c>
      <c r="I525" s="28">
        <f t="shared" si="258"/>
        <v>0</v>
      </c>
      <c r="J525" s="28">
        <f t="shared" si="258"/>
        <v>0</v>
      </c>
      <c r="K525" s="28">
        <f t="shared" si="258"/>
        <v>0</v>
      </c>
      <c r="L525" s="28">
        <f t="shared" si="258"/>
        <v>0</v>
      </c>
      <c r="M525" s="28">
        <f t="shared" si="258"/>
        <v>0</v>
      </c>
      <c r="N525" s="28">
        <f t="shared" si="258"/>
        <v>0</v>
      </c>
      <c r="O525" s="28">
        <f t="shared" si="258"/>
        <v>0</v>
      </c>
      <c r="P525" s="28">
        <f t="shared" si="258"/>
        <v>0</v>
      </c>
      <c r="Q525" s="28">
        <f t="shared" si="258"/>
        <v>0</v>
      </c>
      <c r="R525" s="29">
        <f>IFERROR(Q525/$P525,0)</f>
        <v>0</v>
      </c>
      <c r="S525" s="28">
        <f>SUM(S524)</f>
        <v>0</v>
      </c>
      <c r="T525" s="29">
        <f>IFERROR(S525/$P525,0)</f>
        <v>0</v>
      </c>
      <c r="U525" s="28">
        <f>SUM(U524)</f>
        <v>0</v>
      </c>
      <c r="V525" s="29">
        <f>IFERROR(U525/$P525,0)</f>
        <v>0</v>
      </c>
      <c r="W525" s="28">
        <f>SUM(W524)</f>
        <v>0</v>
      </c>
      <c r="X525" s="29">
        <f>IFERROR(W525/$P525,0)</f>
        <v>0</v>
      </c>
      <c r="Y525" s="28">
        <f>SUM(Y524)</f>
        <v>0</v>
      </c>
      <c r="Z525" s="28">
        <f>SUM(Z524)</f>
        <v>0</v>
      </c>
    </row>
    <row r="526" spans="1:26" ht="13.9" hidden="1" customHeight="1" x14ac:dyDescent="0.25"/>
    <row r="527" spans="1:26" ht="13.9" hidden="1" customHeight="1" x14ac:dyDescent="0.25">
      <c r="D527" s="15" t="s">
        <v>55</v>
      </c>
    </row>
    <row r="528" spans="1:26" ht="13.9" hidden="1" customHeight="1" x14ac:dyDescent="0.25">
      <c r="D528" s="43" t="s">
        <v>273</v>
      </c>
      <c r="E528" s="116" t="s">
        <v>274</v>
      </c>
      <c r="F528" s="129"/>
      <c r="G528" s="130">
        <v>3862.5</v>
      </c>
      <c r="H528" s="130"/>
      <c r="I528" s="130"/>
      <c r="J528" s="130"/>
      <c r="K528" s="130">
        <v>0</v>
      </c>
      <c r="L528" s="130"/>
      <c r="M528" s="130"/>
      <c r="N528" s="130"/>
      <c r="O528" s="130"/>
      <c r="P528" s="130">
        <f>K528+SUM(L528:O528)</f>
        <v>0</v>
      </c>
      <c r="Q528" s="130"/>
      <c r="R528" s="131">
        <f>IFERROR(Q528/$P528,0)</f>
        <v>0</v>
      </c>
      <c r="S528" s="130"/>
      <c r="T528" s="131">
        <f>IFERROR(S528/$P528,0)</f>
        <v>0</v>
      </c>
      <c r="U528" s="130"/>
      <c r="V528" s="131">
        <f>IFERROR(U528/$P528,0)</f>
        <v>0</v>
      </c>
      <c r="W528" s="130"/>
      <c r="X528" s="132">
        <f>IFERROR(W528/$P528,0)</f>
        <v>0</v>
      </c>
      <c r="Y528" s="130">
        <v>0</v>
      </c>
      <c r="Z528" s="133">
        <v>0</v>
      </c>
    </row>
    <row r="529" spans="1:28" ht="13.9" hidden="1" customHeight="1" x14ac:dyDescent="0.25"/>
    <row r="530" spans="1:28" ht="13.9" customHeight="1" x14ac:dyDescent="0.25">
      <c r="D530" s="41" t="s">
        <v>275</v>
      </c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2"/>
      <c r="S530" s="41"/>
      <c r="T530" s="42"/>
      <c r="U530" s="41"/>
      <c r="V530" s="42"/>
      <c r="W530" s="41"/>
      <c r="X530" s="42"/>
      <c r="Y530" s="41"/>
      <c r="Z530" s="41"/>
    </row>
    <row r="531" spans="1:28" ht="13.9" customHeight="1" x14ac:dyDescent="0.25">
      <c r="D531" s="149"/>
      <c r="E531" s="21"/>
      <c r="F531" s="21"/>
      <c r="G531" s="21" t="s">
        <v>1</v>
      </c>
      <c r="H531" s="21" t="s">
        <v>2</v>
      </c>
      <c r="I531" s="21" t="s">
        <v>3</v>
      </c>
      <c r="J531" s="21" t="s">
        <v>4</v>
      </c>
      <c r="K531" s="21" t="s">
        <v>5</v>
      </c>
      <c r="L531" s="21" t="s">
        <v>6</v>
      </c>
      <c r="M531" s="21" t="s">
        <v>7</v>
      </c>
      <c r="N531" s="21" t="s">
        <v>8</v>
      </c>
      <c r="O531" s="21" t="s">
        <v>9</v>
      </c>
      <c r="P531" s="21" t="s">
        <v>123</v>
      </c>
      <c r="Q531" s="21" t="s">
        <v>11</v>
      </c>
      <c r="R531" s="22" t="s">
        <v>12</v>
      </c>
      <c r="S531" s="21" t="s">
        <v>13</v>
      </c>
      <c r="T531" s="22" t="s">
        <v>14</v>
      </c>
      <c r="U531" s="21" t="s">
        <v>15</v>
      </c>
      <c r="V531" s="22" t="s">
        <v>16</v>
      </c>
      <c r="W531" s="21" t="s">
        <v>17</v>
      </c>
      <c r="X531" s="22" t="s">
        <v>18</v>
      </c>
      <c r="Y531" s="21" t="s">
        <v>19</v>
      </c>
      <c r="Z531" s="21" t="s">
        <v>20</v>
      </c>
    </row>
    <row r="532" spans="1:28" ht="13.9" customHeight="1" x14ac:dyDescent="0.25">
      <c r="A532" s="15">
        <v>8</v>
      </c>
      <c r="B532" s="15">
        <v>2</v>
      </c>
      <c r="D532" s="1" t="s">
        <v>21</v>
      </c>
      <c r="E532" s="24">
        <v>111</v>
      </c>
      <c r="F532" s="24" t="s">
        <v>136</v>
      </c>
      <c r="G532" s="25">
        <f>10884.4+160778.08+18915.08</f>
        <v>190577.56</v>
      </c>
      <c r="H532" s="25">
        <v>0</v>
      </c>
      <c r="I532" s="25">
        <f>250000+304000</f>
        <v>554000</v>
      </c>
      <c r="J532" s="25">
        <v>199376</v>
      </c>
      <c r="K532" s="25">
        <v>138109</v>
      </c>
      <c r="L532" s="25"/>
      <c r="M532" s="25"/>
      <c r="N532" s="25"/>
      <c r="O532" s="25"/>
      <c r="P532" s="25">
        <f>K532+SUM(L532:O532)</f>
        <v>138109</v>
      </c>
      <c r="Q532" s="25">
        <v>0</v>
      </c>
      <c r="R532" s="26">
        <f>IFERROR(Q532/$P532,0)</f>
        <v>0</v>
      </c>
      <c r="S532" s="25"/>
      <c r="T532" s="26">
        <f>IFERROR(S532/$P532,0)</f>
        <v>0</v>
      </c>
      <c r="U532" s="25">
        <v>0</v>
      </c>
      <c r="V532" s="26">
        <f>IFERROR(U532/$P532,0)</f>
        <v>0</v>
      </c>
      <c r="W532" s="25">
        <v>0</v>
      </c>
      <c r="X532" s="26">
        <f>IFERROR(W532/$P532,0)</f>
        <v>0</v>
      </c>
      <c r="Y532" s="25">
        <v>0</v>
      </c>
      <c r="Z532" s="25">
        <v>0</v>
      </c>
    </row>
    <row r="533" spans="1:28" ht="13.9" hidden="1" customHeight="1" x14ac:dyDescent="0.25">
      <c r="A533" s="15">
        <v>8</v>
      </c>
      <c r="B533" s="15">
        <v>2</v>
      </c>
      <c r="D533" s="1" t="s">
        <v>21</v>
      </c>
      <c r="E533" s="24">
        <v>41</v>
      </c>
      <c r="F533" s="24" t="s">
        <v>23</v>
      </c>
      <c r="G533" s="25">
        <f t="shared" ref="G533:Q533" si="259">SUM(G537:G545)-G532</f>
        <v>123299.20000000001</v>
      </c>
      <c r="H533" s="25">
        <f t="shared" si="259"/>
        <v>96423.43</v>
      </c>
      <c r="I533" s="25">
        <f t="shared" si="259"/>
        <v>30000</v>
      </c>
      <c r="J533" s="25">
        <f t="shared" si="259"/>
        <v>20437</v>
      </c>
      <c r="K533" s="25">
        <f t="shared" si="259"/>
        <v>0</v>
      </c>
      <c r="L533" s="25">
        <f t="shared" si="259"/>
        <v>0</v>
      </c>
      <c r="M533" s="25">
        <f t="shared" si="259"/>
        <v>0</v>
      </c>
      <c r="N533" s="25">
        <f t="shared" si="259"/>
        <v>0</v>
      </c>
      <c r="O533" s="25">
        <f t="shared" si="259"/>
        <v>0</v>
      </c>
      <c r="P533" s="25">
        <f t="shared" si="259"/>
        <v>0</v>
      </c>
      <c r="Q533" s="25">
        <f t="shared" si="259"/>
        <v>0</v>
      </c>
      <c r="R533" s="26">
        <f>IFERROR(Q533/$P533,0)</f>
        <v>0</v>
      </c>
      <c r="S533" s="25">
        <f>SUM(S537:S545)-S532</f>
        <v>0</v>
      </c>
      <c r="T533" s="26">
        <f>IFERROR(S533/$P533,0)</f>
        <v>0</v>
      </c>
      <c r="U533" s="25">
        <f>SUM(U537:U545)-U532</f>
        <v>0</v>
      </c>
      <c r="V533" s="26">
        <f>IFERROR(U533/$P533,0)</f>
        <v>0</v>
      </c>
      <c r="W533" s="25">
        <f>SUM(W537:W545)-W532</f>
        <v>0</v>
      </c>
      <c r="X533" s="26">
        <f>IFERROR(W533/$P533,0)</f>
        <v>0</v>
      </c>
      <c r="Y533" s="25">
        <f>SUM(Y537:Y545)-Y532</f>
        <v>0</v>
      </c>
      <c r="Z533" s="25">
        <f>SUM(Z537:Z545)-Z532</f>
        <v>0</v>
      </c>
    </row>
    <row r="534" spans="1:28" ht="13.9" customHeight="1" x14ac:dyDescent="0.25">
      <c r="A534" s="15">
        <v>8</v>
      </c>
      <c r="B534" s="15">
        <v>2</v>
      </c>
      <c r="D534" s="30"/>
      <c r="E534" s="31"/>
      <c r="F534" s="27" t="s">
        <v>126</v>
      </c>
      <c r="G534" s="28">
        <f t="shared" ref="G534:Q534" si="260">SUM(G532:G533)</f>
        <v>313876.76</v>
      </c>
      <c r="H534" s="28">
        <f t="shared" si="260"/>
        <v>96423.43</v>
      </c>
      <c r="I534" s="28">
        <f t="shared" si="260"/>
        <v>584000</v>
      </c>
      <c r="J534" s="28">
        <f t="shared" si="260"/>
        <v>219813</v>
      </c>
      <c r="K534" s="28">
        <f t="shared" si="260"/>
        <v>138109</v>
      </c>
      <c r="L534" s="28">
        <f t="shared" si="260"/>
        <v>0</v>
      </c>
      <c r="M534" s="28">
        <f t="shared" si="260"/>
        <v>0</v>
      </c>
      <c r="N534" s="28">
        <f t="shared" si="260"/>
        <v>0</v>
      </c>
      <c r="O534" s="28">
        <f t="shared" si="260"/>
        <v>0</v>
      </c>
      <c r="P534" s="28">
        <f t="shared" si="260"/>
        <v>138109</v>
      </c>
      <c r="Q534" s="28">
        <f t="shared" si="260"/>
        <v>0</v>
      </c>
      <c r="R534" s="29">
        <f>IFERROR(Q534/$P534,0)</f>
        <v>0</v>
      </c>
      <c r="S534" s="28">
        <f>SUM(S532:S533)</f>
        <v>0</v>
      </c>
      <c r="T534" s="29">
        <f>IFERROR(S534/$P534,0)</f>
        <v>0</v>
      </c>
      <c r="U534" s="28">
        <f>SUM(U532:U533)</f>
        <v>0</v>
      </c>
      <c r="V534" s="29">
        <f>IFERROR(U534/$P534,0)</f>
        <v>0</v>
      </c>
      <c r="W534" s="28">
        <f>SUM(W532:W533)</f>
        <v>0</v>
      </c>
      <c r="X534" s="29">
        <f>IFERROR(W534/$P534,0)</f>
        <v>0</v>
      </c>
      <c r="Y534" s="28">
        <f>SUM(Y532:Y533)</f>
        <v>0</v>
      </c>
      <c r="Z534" s="28">
        <f>SUM(Z532:Z533)</f>
        <v>0</v>
      </c>
    </row>
    <row r="536" spans="1:28" ht="13.9" customHeight="1" x14ac:dyDescent="0.25">
      <c r="D536" s="15" t="s">
        <v>55</v>
      </c>
    </row>
    <row r="537" spans="1:28" ht="13.9" hidden="1" customHeight="1" x14ac:dyDescent="0.25">
      <c r="D537" s="179" t="s">
        <v>276</v>
      </c>
      <c r="E537" s="52" t="s">
        <v>277</v>
      </c>
      <c r="F537" s="30"/>
      <c r="G537" s="53"/>
      <c r="H537" s="53">
        <v>90521.43</v>
      </c>
      <c r="I537" s="53"/>
      <c r="J537" s="53"/>
      <c r="K537" s="53"/>
      <c r="L537" s="53"/>
      <c r="M537" s="53"/>
      <c r="N537" s="53"/>
      <c r="O537" s="53"/>
      <c r="P537" s="53">
        <f t="shared" ref="P537:P545" si="261">K537+SUM(L537:O537)</f>
        <v>0</v>
      </c>
      <c r="Q537" s="53"/>
      <c r="R537" s="54">
        <f t="shared" ref="R537:R545" si="262">IFERROR(Q537/$P537,0)</f>
        <v>0</v>
      </c>
      <c r="S537" s="53"/>
      <c r="T537" s="54">
        <f t="shared" ref="T537:T545" si="263">IFERROR(S537/$P537,0)</f>
        <v>0</v>
      </c>
      <c r="U537" s="53"/>
      <c r="V537" s="54">
        <f t="shared" ref="V537:V545" si="264">IFERROR(U537/$P537,0)</f>
        <v>0</v>
      </c>
      <c r="W537" s="53"/>
      <c r="X537" s="55">
        <f t="shared" ref="X537:X545" si="265">IFERROR(W537/$P537,0)</f>
        <v>0</v>
      </c>
      <c r="Y537" s="53"/>
      <c r="Z537" s="56"/>
    </row>
    <row r="538" spans="1:28" ht="13.9" hidden="1" customHeight="1" x14ac:dyDescent="0.25">
      <c r="D538" s="179"/>
      <c r="E538" s="57" t="s">
        <v>278</v>
      </c>
      <c r="F538" s="92"/>
      <c r="G538" s="95">
        <v>189150.68</v>
      </c>
      <c r="H538" s="95"/>
      <c r="I538" s="95"/>
      <c r="J538" s="95"/>
      <c r="K538" s="95"/>
      <c r="L538" s="95"/>
      <c r="M538" s="95"/>
      <c r="N538" s="95"/>
      <c r="O538" s="95"/>
      <c r="P538" s="95">
        <f t="shared" si="261"/>
        <v>0</v>
      </c>
      <c r="Q538" s="95"/>
      <c r="R538" s="96">
        <f t="shared" si="262"/>
        <v>0</v>
      </c>
      <c r="S538" s="95"/>
      <c r="T538" s="96">
        <f t="shared" si="263"/>
        <v>0</v>
      </c>
      <c r="U538" s="95"/>
      <c r="V538" s="96">
        <f t="shared" si="264"/>
        <v>0</v>
      </c>
      <c r="W538" s="95"/>
      <c r="X538" s="60">
        <f t="shared" si="265"/>
        <v>0</v>
      </c>
      <c r="Y538" s="95"/>
      <c r="Z538" s="61"/>
    </row>
    <row r="539" spans="1:28" ht="13.9" hidden="1" customHeight="1" x14ac:dyDescent="0.25">
      <c r="D539" s="179"/>
      <c r="E539" s="151" t="s">
        <v>279</v>
      </c>
      <c r="F539" s="92"/>
      <c r="G539" s="95">
        <v>89115.6</v>
      </c>
      <c r="H539" s="95"/>
      <c r="I539" s="95"/>
      <c r="J539" s="95"/>
      <c r="K539" s="95"/>
      <c r="L539" s="95"/>
      <c r="M539" s="95"/>
      <c r="N539" s="95"/>
      <c r="O539" s="95"/>
      <c r="P539" s="95">
        <f t="shared" si="261"/>
        <v>0</v>
      </c>
      <c r="Q539" s="95"/>
      <c r="R539" s="96">
        <f t="shared" si="262"/>
        <v>0</v>
      </c>
      <c r="S539" s="95"/>
      <c r="T539" s="96">
        <f t="shared" si="263"/>
        <v>0</v>
      </c>
      <c r="U539" s="95"/>
      <c r="V539" s="96">
        <f t="shared" si="264"/>
        <v>0</v>
      </c>
      <c r="W539" s="95"/>
      <c r="X539" s="60">
        <f t="shared" si="265"/>
        <v>0</v>
      </c>
      <c r="Y539" s="95"/>
      <c r="Z539" s="61"/>
      <c r="AB539"/>
    </row>
    <row r="540" spans="1:28" ht="13.9" hidden="1" customHeight="1" x14ac:dyDescent="0.25">
      <c r="D540" s="179"/>
      <c r="E540" s="151" t="s">
        <v>280</v>
      </c>
      <c r="F540" s="92"/>
      <c r="G540" s="95">
        <v>35610.480000000003</v>
      </c>
      <c r="H540" s="95"/>
      <c r="I540" s="95"/>
      <c r="J540" s="95"/>
      <c r="K540" s="95"/>
      <c r="L540" s="95"/>
      <c r="M540" s="95"/>
      <c r="N540" s="95"/>
      <c r="O540" s="95"/>
      <c r="P540" s="95">
        <f t="shared" si="261"/>
        <v>0</v>
      </c>
      <c r="Q540" s="95"/>
      <c r="R540" s="96">
        <f t="shared" si="262"/>
        <v>0</v>
      </c>
      <c r="S540" s="95"/>
      <c r="T540" s="96">
        <f t="shared" si="263"/>
        <v>0</v>
      </c>
      <c r="U540" s="95"/>
      <c r="V540" s="96">
        <f t="shared" si="264"/>
        <v>0</v>
      </c>
      <c r="W540" s="95"/>
      <c r="X540" s="60">
        <f t="shared" si="265"/>
        <v>0</v>
      </c>
      <c r="Y540" s="95"/>
      <c r="Z540" s="61"/>
    </row>
    <row r="541" spans="1:28" ht="13.9" hidden="1" customHeight="1" x14ac:dyDescent="0.25">
      <c r="D541" s="179"/>
      <c r="E541" s="151" t="s">
        <v>281</v>
      </c>
      <c r="F541" s="92"/>
      <c r="G541" s="95"/>
      <c r="H541" s="95">
        <v>4368</v>
      </c>
      <c r="I541" s="95"/>
      <c r="J541" s="95"/>
      <c r="K541" s="95"/>
      <c r="L541" s="95"/>
      <c r="M541" s="95"/>
      <c r="N541" s="95"/>
      <c r="O541" s="95"/>
      <c r="P541" s="95">
        <f t="shared" si="261"/>
        <v>0</v>
      </c>
      <c r="Q541" s="95"/>
      <c r="R541" s="96">
        <f t="shared" si="262"/>
        <v>0</v>
      </c>
      <c r="S541" s="95"/>
      <c r="T541" s="96">
        <f t="shared" si="263"/>
        <v>0</v>
      </c>
      <c r="U541" s="95"/>
      <c r="V541" s="96">
        <f t="shared" si="264"/>
        <v>0</v>
      </c>
      <c r="W541" s="95"/>
      <c r="X541" s="60">
        <f t="shared" si="265"/>
        <v>0</v>
      </c>
      <c r="Y541" s="95"/>
      <c r="Z541" s="61"/>
    </row>
    <row r="542" spans="1:28" ht="13.9" hidden="1" customHeight="1" x14ac:dyDescent="0.25">
      <c r="D542" s="179"/>
      <c r="E542" s="151" t="s">
        <v>282</v>
      </c>
      <c r="F542" s="92"/>
      <c r="G542" s="95"/>
      <c r="H542" s="95">
        <v>958</v>
      </c>
      <c r="I542" s="95">
        <v>320000</v>
      </c>
      <c r="J542" s="95"/>
      <c r="K542" s="95"/>
      <c r="L542" s="95"/>
      <c r="M542" s="95"/>
      <c r="N542" s="95"/>
      <c r="O542" s="95"/>
      <c r="P542" s="95">
        <f t="shared" si="261"/>
        <v>0</v>
      </c>
      <c r="Q542" s="95"/>
      <c r="R542" s="96">
        <f t="shared" si="262"/>
        <v>0</v>
      </c>
      <c r="S542" s="95"/>
      <c r="T542" s="96">
        <f t="shared" si="263"/>
        <v>0</v>
      </c>
      <c r="U542" s="95"/>
      <c r="V542" s="96">
        <f t="shared" si="264"/>
        <v>0</v>
      </c>
      <c r="W542" s="95"/>
      <c r="X542" s="60">
        <f t="shared" si="265"/>
        <v>0</v>
      </c>
      <c r="Y542" s="95"/>
      <c r="Z542" s="61"/>
    </row>
    <row r="543" spans="1:28" ht="13.9" hidden="1" customHeight="1" x14ac:dyDescent="0.25">
      <c r="D543" s="179"/>
      <c r="E543" s="151" t="s">
        <v>283</v>
      </c>
      <c r="F543" s="92"/>
      <c r="G543" s="95"/>
      <c r="H543" s="95">
        <v>432</v>
      </c>
      <c r="I543" s="95"/>
      <c r="J543" s="95"/>
      <c r="K543" s="95"/>
      <c r="L543" s="95"/>
      <c r="M543" s="95"/>
      <c r="N543" s="95"/>
      <c r="O543" s="95"/>
      <c r="P543" s="95">
        <f t="shared" si="261"/>
        <v>0</v>
      </c>
      <c r="Q543" s="95"/>
      <c r="R543" s="96">
        <f t="shared" si="262"/>
        <v>0</v>
      </c>
      <c r="S543" s="95"/>
      <c r="T543" s="96">
        <f t="shared" si="263"/>
        <v>0</v>
      </c>
      <c r="U543" s="95"/>
      <c r="V543" s="96">
        <f t="shared" si="264"/>
        <v>0</v>
      </c>
      <c r="W543" s="95"/>
      <c r="X543" s="60">
        <f t="shared" si="265"/>
        <v>0</v>
      </c>
      <c r="Y543" s="95"/>
      <c r="Z543" s="61"/>
    </row>
    <row r="544" spans="1:28" ht="13.9" hidden="1" customHeight="1" x14ac:dyDescent="0.25">
      <c r="D544" s="179"/>
      <c r="E544" s="151" t="s">
        <v>284</v>
      </c>
      <c r="F544" s="92"/>
      <c r="G544" s="95"/>
      <c r="H544" s="95"/>
      <c r="I544" s="95">
        <v>264000</v>
      </c>
      <c r="J544" s="95">
        <v>219413</v>
      </c>
      <c r="K544" s="95"/>
      <c r="L544" s="95"/>
      <c r="M544" s="95"/>
      <c r="N544" s="95"/>
      <c r="O544" s="95"/>
      <c r="P544" s="95">
        <f t="shared" si="261"/>
        <v>0</v>
      </c>
      <c r="Q544" s="95"/>
      <c r="R544" s="96">
        <f t="shared" si="262"/>
        <v>0</v>
      </c>
      <c r="S544" s="95"/>
      <c r="T544" s="96">
        <f t="shared" si="263"/>
        <v>0</v>
      </c>
      <c r="U544" s="95"/>
      <c r="V544" s="96">
        <f t="shared" si="264"/>
        <v>0</v>
      </c>
      <c r="W544" s="95"/>
      <c r="X544" s="60">
        <f t="shared" si="265"/>
        <v>0</v>
      </c>
      <c r="Y544" s="95"/>
      <c r="Z544" s="61"/>
    </row>
    <row r="545" spans="1:26" ht="13.9" customHeight="1" x14ac:dyDescent="0.25">
      <c r="D545" s="179"/>
      <c r="E545" s="152" t="s">
        <v>285</v>
      </c>
      <c r="F545" s="153"/>
      <c r="G545" s="154"/>
      <c r="H545" s="154">
        <v>144</v>
      </c>
      <c r="I545" s="154">
        <v>0</v>
      </c>
      <c r="J545" s="154">
        <v>400</v>
      </c>
      <c r="K545" s="154">
        <v>138109</v>
      </c>
      <c r="L545" s="154"/>
      <c r="M545" s="154"/>
      <c r="N545" s="154"/>
      <c r="O545" s="154"/>
      <c r="P545" s="154">
        <f t="shared" si="261"/>
        <v>138109</v>
      </c>
      <c r="Q545" s="154">
        <v>0</v>
      </c>
      <c r="R545" s="155">
        <f t="shared" si="262"/>
        <v>0</v>
      </c>
      <c r="S545" s="154"/>
      <c r="T545" s="155">
        <f t="shared" si="263"/>
        <v>0</v>
      </c>
      <c r="U545" s="154"/>
      <c r="V545" s="155">
        <f t="shared" si="264"/>
        <v>0</v>
      </c>
      <c r="W545" s="154"/>
      <c r="X545" s="156">
        <f t="shared" si="265"/>
        <v>0</v>
      </c>
      <c r="Y545" s="67"/>
      <c r="Z545" s="70"/>
    </row>
    <row r="547" spans="1:26" ht="13.9" customHeight="1" x14ac:dyDescent="0.25">
      <c r="D547" s="41" t="s">
        <v>286</v>
      </c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2"/>
      <c r="S547" s="41"/>
      <c r="T547" s="42"/>
      <c r="U547" s="41"/>
      <c r="V547" s="42"/>
      <c r="W547" s="41"/>
      <c r="X547" s="42"/>
      <c r="Y547" s="41"/>
      <c r="Z547" s="41"/>
    </row>
    <row r="548" spans="1:26" ht="13.9" customHeight="1" x14ac:dyDescent="0.25">
      <c r="D548" s="149"/>
      <c r="E548" s="21"/>
      <c r="F548" s="21"/>
      <c r="G548" s="21" t="s">
        <v>1</v>
      </c>
      <c r="H548" s="21" t="s">
        <v>2</v>
      </c>
      <c r="I548" s="21" t="s">
        <v>3</v>
      </c>
      <c r="J548" s="21" t="s">
        <v>4</v>
      </c>
      <c r="K548" s="21" t="s">
        <v>5</v>
      </c>
      <c r="L548" s="21" t="s">
        <v>6</v>
      </c>
      <c r="M548" s="21" t="s">
        <v>7</v>
      </c>
      <c r="N548" s="21" t="s">
        <v>8</v>
      </c>
      <c r="O548" s="21" t="s">
        <v>9</v>
      </c>
      <c r="P548" s="21" t="s">
        <v>123</v>
      </c>
      <c r="Q548" s="21" t="s">
        <v>11</v>
      </c>
      <c r="R548" s="22" t="s">
        <v>12</v>
      </c>
      <c r="S548" s="21" t="s">
        <v>13</v>
      </c>
      <c r="T548" s="22" t="s">
        <v>14</v>
      </c>
      <c r="U548" s="21" t="s">
        <v>15</v>
      </c>
      <c r="V548" s="22" t="s">
        <v>16</v>
      </c>
      <c r="W548" s="21" t="s">
        <v>17</v>
      </c>
      <c r="X548" s="22" t="s">
        <v>18</v>
      </c>
      <c r="Y548" s="21" t="s">
        <v>19</v>
      </c>
      <c r="Z548" s="21" t="s">
        <v>20</v>
      </c>
    </row>
    <row r="549" spans="1:26" ht="13.9" customHeight="1" x14ac:dyDescent="0.25">
      <c r="A549" s="15">
        <v>8</v>
      </c>
      <c r="B549" s="15">
        <v>3</v>
      </c>
      <c r="D549" s="150" t="s">
        <v>21</v>
      </c>
      <c r="E549" s="24">
        <v>41</v>
      </c>
      <c r="F549" s="24" t="s">
        <v>23</v>
      </c>
      <c r="G549" s="25">
        <f t="shared" ref="G549:Q549" si="266">SUM(G553:G557)</f>
        <v>425261.19</v>
      </c>
      <c r="H549" s="25">
        <f t="shared" si="266"/>
        <v>203327.19</v>
      </c>
      <c r="I549" s="25">
        <f t="shared" si="266"/>
        <v>190000</v>
      </c>
      <c r="J549" s="25">
        <f t="shared" si="266"/>
        <v>173301</v>
      </c>
      <c r="K549" s="25">
        <f t="shared" si="266"/>
        <v>300000</v>
      </c>
      <c r="L549" s="25">
        <f t="shared" si="266"/>
        <v>0</v>
      </c>
      <c r="M549" s="25">
        <f t="shared" si="266"/>
        <v>0</v>
      </c>
      <c r="N549" s="25">
        <f t="shared" si="266"/>
        <v>0</v>
      </c>
      <c r="O549" s="25">
        <f t="shared" si="266"/>
        <v>0</v>
      </c>
      <c r="P549" s="25">
        <f t="shared" si="266"/>
        <v>300000</v>
      </c>
      <c r="Q549" s="25">
        <f t="shared" si="266"/>
        <v>246</v>
      </c>
      <c r="R549" s="26">
        <f>IFERROR(Q549/$P549,0)</f>
        <v>8.1999999999999998E-4</v>
      </c>
      <c r="S549" s="25">
        <f>SUM(S553:S557)</f>
        <v>0</v>
      </c>
      <c r="T549" s="26">
        <f>IFERROR(S549/$P549,0)</f>
        <v>0</v>
      </c>
      <c r="U549" s="25">
        <f>SUM(U553:U557)</f>
        <v>0</v>
      </c>
      <c r="V549" s="26">
        <f>IFERROR(U549/$P549,0)</f>
        <v>0</v>
      </c>
      <c r="W549" s="25">
        <f>SUM(W553:W557)</f>
        <v>0</v>
      </c>
      <c r="X549" s="26">
        <f>IFERROR(W549/$P549,0)</f>
        <v>0</v>
      </c>
      <c r="Y549" s="25">
        <f>SUM(Y553:Y557)</f>
        <v>626228</v>
      </c>
      <c r="Z549" s="25">
        <f>SUM(Z553:Z557)</f>
        <v>0</v>
      </c>
    </row>
    <row r="550" spans="1:26" ht="13.9" customHeight="1" x14ac:dyDescent="0.25">
      <c r="A550" s="15">
        <v>8</v>
      </c>
      <c r="B550" s="15">
        <v>3</v>
      </c>
      <c r="D550" s="30"/>
      <c r="E550" s="31"/>
      <c r="F550" s="27" t="s">
        <v>126</v>
      </c>
      <c r="G550" s="28">
        <f t="shared" ref="G550:Q550" si="267">SUM(G549)</f>
        <v>425261.19</v>
      </c>
      <c r="H550" s="28">
        <f t="shared" si="267"/>
        <v>203327.19</v>
      </c>
      <c r="I550" s="28">
        <f t="shared" si="267"/>
        <v>190000</v>
      </c>
      <c r="J550" s="28">
        <f t="shared" si="267"/>
        <v>173301</v>
      </c>
      <c r="K550" s="28">
        <f t="shared" si="267"/>
        <v>300000</v>
      </c>
      <c r="L550" s="28">
        <f t="shared" si="267"/>
        <v>0</v>
      </c>
      <c r="M550" s="28">
        <f t="shared" si="267"/>
        <v>0</v>
      </c>
      <c r="N550" s="28">
        <f t="shared" si="267"/>
        <v>0</v>
      </c>
      <c r="O550" s="28">
        <f t="shared" si="267"/>
        <v>0</v>
      </c>
      <c r="P550" s="28">
        <f t="shared" si="267"/>
        <v>300000</v>
      </c>
      <c r="Q550" s="28">
        <f t="shared" si="267"/>
        <v>246</v>
      </c>
      <c r="R550" s="29">
        <f>IFERROR(Q550/$P550,0)</f>
        <v>8.1999999999999998E-4</v>
      </c>
      <c r="S550" s="28">
        <f>SUM(S549)</f>
        <v>0</v>
      </c>
      <c r="T550" s="29">
        <f>IFERROR(S550/$P550,0)</f>
        <v>0</v>
      </c>
      <c r="U550" s="28">
        <f>SUM(U549)</f>
        <v>0</v>
      </c>
      <c r="V550" s="29">
        <f>IFERROR(U550/$P550,0)</f>
        <v>0</v>
      </c>
      <c r="W550" s="28">
        <f>SUM(W549)</f>
        <v>0</v>
      </c>
      <c r="X550" s="29">
        <f>IFERROR(W550/$P550,0)</f>
        <v>0</v>
      </c>
      <c r="Y550" s="28">
        <f>SUM(Y549)</f>
        <v>626228</v>
      </c>
      <c r="Z550" s="28">
        <f>SUM(Z549)</f>
        <v>0</v>
      </c>
    </row>
    <row r="552" spans="1:26" ht="13.9" customHeight="1" x14ac:dyDescent="0.25">
      <c r="D552" s="15" t="s">
        <v>55</v>
      </c>
    </row>
    <row r="553" spans="1:26" ht="13.9" hidden="1" customHeight="1" x14ac:dyDescent="0.25">
      <c r="D553" s="13" t="s">
        <v>287</v>
      </c>
      <c r="E553" s="52" t="s">
        <v>288</v>
      </c>
      <c r="F553" s="30"/>
      <c r="G553" s="53"/>
      <c r="H553" s="53"/>
      <c r="I553" s="53"/>
      <c r="J553" s="53"/>
      <c r="K553" s="53"/>
      <c r="L553" s="53"/>
      <c r="M553" s="53"/>
      <c r="N553" s="53"/>
      <c r="O553" s="53"/>
      <c r="P553" s="53">
        <f>K553+SUM(L553:O553)</f>
        <v>0</v>
      </c>
      <c r="Q553" s="53"/>
      <c r="R553" s="54">
        <f>IFERROR(Q553/$P553,0)</f>
        <v>0</v>
      </c>
      <c r="S553" s="53"/>
      <c r="T553" s="54">
        <f>IFERROR(S553/$P553,0)</f>
        <v>0</v>
      </c>
      <c r="U553" s="53"/>
      <c r="V553" s="54">
        <f>IFERROR(U553/$P553,0)</f>
        <v>0</v>
      </c>
      <c r="W553" s="53"/>
      <c r="X553" s="55">
        <f>IFERROR(W553/$P553,0)</f>
        <v>0</v>
      </c>
      <c r="Y553" s="53">
        <v>626228</v>
      </c>
      <c r="Z553" s="56"/>
    </row>
    <row r="554" spans="1:26" ht="13.9" hidden="1" customHeight="1" x14ac:dyDescent="0.25">
      <c r="D554" s="13"/>
      <c r="E554" s="57" t="s">
        <v>289</v>
      </c>
      <c r="F554" s="92"/>
      <c r="G554" s="95"/>
      <c r="H554" s="95"/>
      <c r="I554" s="95"/>
      <c r="J554" s="95"/>
      <c r="K554" s="95"/>
      <c r="L554" s="95"/>
      <c r="M554" s="95"/>
      <c r="N554" s="95"/>
      <c r="O554" s="95"/>
      <c r="P554" s="95">
        <f>K554+SUM(L554:O554)</f>
        <v>0</v>
      </c>
      <c r="Q554" s="95"/>
      <c r="R554" s="96">
        <f>IFERROR(Q554/$P554,0)</f>
        <v>0</v>
      </c>
      <c r="S554" s="95"/>
      <c r="T554" s="96">
        <f>IFERROR(S554/$P554,0)</f>
        <v>0</v>
      </c>
      <c r="U554" s="95"/>
      <c r="V554" s="96">
        <f>IFERROR(U554/$P554,0)</f>
        <v>0</v>
      </c>
      <c r="W554" s="95"/>
      <c r="X554" s="60">
        <f>IFERROR(W554/$P554,0)</f>
        <v>0</v>
      </c>
      <c r="Y554" s="95"/>
      <c r="Z554" s="61"/>
    </row>
    <row r="555" spans="1:26" ht="13.9" hidden="1" customHeight="1" x14ac:dyDescent="0.25">
      <c r="D555" s="13"/>
      <c r="E555" s="57" t="s">
        <v>290</v>
      </c>
      <c r="F555" s="92"/>
      <c r="G555" s="95"/>
      <c r="H555" s="95">
        <v>8090</v>
      </c>
      <c r="I555" s="95"/>
      <c r="J555" s="95"/>
      <c r="K555" s="95"/>
      <c r="L555" s="95"/>
      <c r="M555" s="95"/>
      <c r="N555" s="95"/>
      <c r="O555" s="95"/>
      <c r="P555" s="95">
        <f>K555+SUM(L555:O555)</f>
        <v>0</v>
      </c>
      <c r="Q555" s="95"/>
      <c r="R555" s="96">
        <f>IFERROR(Q555/$P555,0)</f>
        <v>0</v>
      </c>
      <c r="S555" s="95"/>
      <c r="T555" s="96">
        <f>IFERROR(S555/$P555,0)</f>
        <v>0</v>
      </c>
      <c r="U555" s="95"/>
      <c r="V555" s="96">
        <f>IFERROR(U555/$P555,0)</f>
        <v>0</v>
      </c>
      <c r="W555" s="95"/>
      <c r="X555" s="60">
        <f>IFERROR(W555/$P555,0)</f>
        <v>0</v>
      </c>
      <c r="Y555" s="95"/>
      <c r="Z555" s="61"/>
    </row>
    <row r="556" spans="1:26" ht="13.9" customHeight="1" x14ac:dyDescent="0.25">
      <c r="D556" s="13"/>
      <c r="E556" s="157" t="s">
        <v>291</v>
      </c>
      <c r="F556" s="81"/>
      <c r="G556" s="82">
        <v>425261.19</v>
      </c>
      <c r="H556" s="82">
        <v>195237.19</v>
      </c>
      <c r="I556" s="82">
        <v>190000</v>
      </c>
      <c r="J556" s="82">
        <v>173301</v>
      </c>
      <c r="K556" s="82">
        <v>300000</v>
      </c>
      <c r="L556" s="82"/>
      <c r="M556" s="82"/>
      <c r="N556" s="82"/>
      <c r="O556" s="82"/>
      <c r="P556" s="82">
        <f>K556+SUM(L556:O556)</f>
        <v>300000</v>
      </c>
      <c r="Q556" s="82">
        <v>246</v>
      </c>
      <c r="R556" s="158">
        <f>IFERROR(Q556/$P556,0)</f>
        <v>8.1999999999999998E-4</v>
      </c>
      <c r="S556" s="82"/>
      <c r="T556" s="158">
        <f>IFERROR(S556/$P556,0)</f>
        <v>0</v>
      </c>
      <c r="U556" s="82"/>
      <c r="V556" s="158">
        <f>IFERROR(U556/$P556,0)</f>
        <v>0</v>
      </c>
      <c r="W556" s="82"/>
      <c r="X556" s="159">
        <f>IFERROR(W556/$P556,0)</f>
        <v>0</v>
      </c>
      <c r="Y556" s="95"/>
      <c r="Z556" s="61"/>
    </row>
    <row r="557" spans="1:26" ht="13.9" hidden="1" customHeight="1" x14ac:dyDescent="0.25">
      <c r="D557" s="13"/>
      <c r="E557" s="65" t="s">
        <v>292</v>
      </c>
      <c r="F557" s="97"/>
      <c r="G557" s="67"/>
      <c r="H557" s="67"/>
      <c r="I557" s="67"/>
      <c r="J557" s="67"/>
      <c r="K557" s="67"/>
      <c r="L557" s="67"/>
      <c r="M557" s="67"/>
      <c r="N557" s="67"/>
      <c r="O557" s="67"/>
      <c r="P557" s="67">
        <f>K557+SUM(L557:O557)</f>
        <v>0</v>
      </c>
      <c r="Q557" s="67"/>
      <c r="R557" s="68">
        <f>IFERROR(Q557/$P557,0)</f>
        <v>0</v>
      </c>
      <c r="S557" s="67"/>
      <c r="T557" s="68">
        <f>IFERROR(S557/$P557,0)</f>
        <v>0</v>
      </c>
      <c r="U557" s="67"/>
      <c r="V557" s="68">
        <f>IFERROR(U557/$P557,0)</f>
        <v>0</v>
      </c>
      <c r="W557" s="67"/>
      <c r="X557" s="69">
        <f>IFERROR(W557/$P557,0)</f>
        <v>0</v>
      </c>
      <c r="Y557" s="120"/>
      <c r="Z557" s="70"/>
    </row>
    <row r="559" spans="1:26" ht="13.9" customHeight="1" x14ac:dyDescent="0.25">
      <c r="D559" s="41" t="s">
        <v>293</v>
      </c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2"/>
      <c r="S559" s="41"/>
      <c r="T559" s="42"/>
      <c r="U559" s="41"/>
      <c r="V559" s="42"/>
      <c r="W559" s="41"/>
      <c r="X559" s="42"/>
      <c r="Y559" s="41"/>
      <c r="Z559" s="41"/>
    </row>
    <row r="560" spans="1:26" ht="13.9" customHeight="1" x14ac:dyDescent="0.25">
      <c r="D560" s="149"/>
      <c r="E560" s="21"/>
      <c r="F560" s="21"/>
      <c r="G560" s="21" t="s">
        <v>1</v>
      </c>
      <c r="H560" s="21" t="s">
        <v>2</v>
      </c>
      <c r="I560" s="21" t="s">
        <v>3</v>
      </c>
      <c r="J560" s="21" t="s">
        <v>4</v>
      </c>
      <c r="K560" s="21" t="s">
        <v>5</v>
      </c>
      <c r="L560" s="21" t="s">
        <v>6</v>
      </c>
      <c r="M560" s="21" t="s">
        <v>7</v>
      </c>
      <c r="N560" s="21" t="s">
        <v>8</v>
      </c>
      <c r="O560" s="21" t="s">
        <v>9</v>
      </c>
      <c r="P560" s="21" t="s">
        <v>123</v>
      </c>
      <c r="Q560" s="21" t="s">
        <v>11</v>
      </c>
      <c r="R560" s="22" t="s">
        <v>12</v>
      </c>
      <c r="S560" s="21" t="s">
        <v>13</v>
      </c>
      <c r="T560" s="22" t="s">
        <v>14</v>
      </c>
      <c r="U560" s="21" t="s">
        <v>15</v>
      </c>
      <c r="V560" s="22" t="s">
        <v>16</v>
      </c>
      <c r="W560" s="21" t="s">
        <v>17</v>
      </c>
      <c r="X560" s="22" t="s">
        <v>18</v>
      </c>
      <c r="Y560" s="21" t="s">
        <v>19</v>
      </c>
      <c r="Z560" s="21" t="s">
        <v>20</v>
      </c>
    </row>
    <row r="561" spans="1:26" ht="13.9" customHeight="1" x14ac:dyDescent="0.25">
      <c r="D561" s="13" t="s">
        <v>21</v>
      </c>
      <c r="E561" s="24">
        <v>111</v>
      </c>
      <c r="F561" s="24" t="s">
        <v>45</v>
      </c>
      <c r="G561" s="25">
        <v>0</v>
      </c>
      <c r="H561" s="25">
        <v>0</v>
      </c>
      <c r="I561" s="25">
        <v>0</v>
      </c>
      <c r="J561" s="25">
        <v>0</v>
      </c>
      <c r="K561" s="25">
        <f>14850+409438</f>
        <v>424288</v>
      </c>
      <c r="L561" s="25">
        <v>0</v>
      </c>
      <c r="M561" s="25">
        <v>0</v>
      </c>
      <c r="N561" s="25">
        <v>0</v>
      </c>
      <c r="O561" s="25">
        <v>0</v>
      </c>
      <c r="P561" s="25">
        <f>SUM(K561:O561)</f>
        <v>424288</v>
      </c>
      <c r="Q561" s="25">
        <v>0</v>
      </c>
      <c r="R561" s="26">
        <f>IFERROR(Q561/$P561,0)</f>
        <v>0</v>
      </c>
      <c r="S561" s="25">
        <v>0</v>
      </c>
      <c r="T561" s="26">
        <f>IFERROR(S561/$P561,0)</f>
        <v>0</v>
      </c>
      <c r="U561" s="25">
        <v>0</v>
      </c>
      <c r="V561" s="26">
        <f>IFERROR(U561/$P561,0)</f>
        <v>0</v>
      </c>
      <c r="W561" s="25">
        <v>0</v>
      </c>
      <c r="X561" s="26">
        <f>IFERROR(W561/$P561,0)</f>
        <v>0</v>
      </c>
      <c r="Y561" s="25">
        <v>0</v>
      </c>
      <c r="Z561" s="25">
        <v>0</v>
      </c>
    </row>
    <row r="562" spans="1:26" ht="13.9" customHeight="1" x14ac:dyDescent="0.25">
      <c r="D562" s="13"/>
      <c r="E562" s="24">
        <v>41</v>
      </c>
      <c r="F562" s="24" t="s">
        <v>23</v>
      </c>
      <c r="G562" s="25">
        <f t="shared" ref="G562:Q562" si="268">SUM(G566:G569)-G561</f>
        <v>0</v>
      </c>
      <c r="H562" s="25">
        <f t="shared" si="268"/>
        <v>0</v>
      </c>
      <c r="I562" s="25">
        <f t="shared" si="268"/>
        <v>52500</v>
      </c>
      <c r="J562" s="25">
        <f t="shared" si="268"/>
        <v>18427</v>
      </c>
      <c r="K562" s="25">
        <f t="shared" si="268"/>
        <v>46254</v>
      </c>
      <c r="L562" s="25">
        <f t="shared" si="268"/>
        <v>0</v>
      </c>
      <c r="M562" s="25">
        <f t="shared" si="268"/>
        <v>0</v>
      </c>
      <c r="N562" s="25">
        <f t="shared" si="268"/>
        <v>0</v>
      </c>
      <c r="O562" s="25">
        <f t="shared" si="268"/>
        <v>0</v>
      </c>
      <c r="P562" s="25">
        <f t="shared" si="268"/>
        <v>46254</v>
      </c>
      <c r="Q562" s="25">
        <f t="shared" si="268"/>
        <v>0</v>
      </c>
      <c r="R562" s="26">
        <f>IFERROR(Q562/$P562,0)</f>
        <v>0</v>
      </c>
      <c r="S562" s="25">
        <f>SUM(S566:S569)-S561</f>
        <v>0</v>
      </c>
      <c r="T562" s="26">
        <f>IFERROR(S562/$P562,0)</f>
        <v>0</v>
      </c>
      <c r="U562" s="25">
        <f>SUM(U566:U569)-U561</f>
        <v>0</v>
      </c>
      <c r="V562" s="26">
        <f>IFERROR(U562/$P562,0)</f>
        <v>0</v>
      </c>
      <c r="W562" s="25">
        <f>SUM(W566:W569)-W561</f>
        <v>0</v>
      </c>
      <c r="X562" s="26">
        <f>IFERROR(W562/$P562,0)</f>
        <v>0</v>
      </c>
      <c r="Y562" s="25">
        <f>SUM(Y566:Y569)-Y561</f>
        <v>0</v>
      </c>
      <c r="Z562" s="25">
        <f>SUM(Z566:Z569)-Z561</f>
        <v>0</v>
      </c>
    </row>
    <row r="563" spans="1:26" ht="13.9" customHeight="1" x14ac:dyDescent="0.25">
      <c r="D563" s="30"/>
      <c r="E563" s="31"/>
      <c r="F563" s="27" t="s">
        <v>126</v>
      </c>
      <c r="G563" s="28">
        <f t="shared" ref="G563:Q563" si="269">SUM(G561:G562)</f>
        <v>0</v>
      </c>
      <c r="H563" s="28">
        <f t="shared" si="269"/>
        <v>0</v>
      </c>
      <c r="I563" s="28">
        <f t="shared" si="269"/>
        <v>52500</v>
      </c>
      <c r="J563" s="28">
        <f t="shared" si="269"/>
        <v>18427</v>
      </c>
      <c r="K563" s="28">
        <f t="shared" si="269"/>
        <v>470542</v>
      </c>
      <c r="L563" s="28">
        <f t="shared" si="269"/>
        <v>0</v>
      </c>
      <c r="M563" s="28">
        <f t="shared" si="269"/>
        <v>0</v>
      </c>
      <c r="N563" s="28">
        <f t="shared" si="269"/>
        <v>0</v>
      </c>
      <c r="O563" s="28">
        <f t="shared" si="269"/>
        <v>0</v>
      </c>
      <c r="P563" s="28">
        <f t="shared" si="269"/>
        <v>470542</v>
      </c>
      <c r="Q563" s="28">
        <f t="shared" si="269"/>
        <v>0</v>
      </c>
      <c r="R563" s="29">
        <f>IFERROR(Q563/$P563,0)</f>
        <v>0</v>
      </c>
      <c r="S563" s="28">
        <f>SUM(S561:S562)</f>
        <v>0</v>
      </c>
      <c r="T563" s="29">
        <f>IFERROR(S563/$P563,0)</f>
        <v>0</v>
      </c>
      <c r="U563" s="28">
        <f>SUM(U561:U562)</f>
        <v>0</v>
      </c>
      <c r="V563" s="29">
        <f>IFERROR(U563/$P563,0)</f>
        <v>0</v>
      </c>
      <c r="W563" s="28">
        <f>SUM(W561:W562)</f>
        <v>0</v>
      </c>
      <c r="X563" s="29">
        <f>IFERROR(W563/$P563,0)</f>
        <v>0</v>
      </c>
      <c r="Y563" s="28">
        <f>SUM(Y561:Y562)</f>
        <v>0</v>
      </c>
      <c r="Z563" s="28">
        <f>SUM(Z561:Z562)</f>
        <v>0</v>
      </c>
    </row>
    <row r="565" spans="1:26" ht="13.9" customHeight="1" x14ac:dyDescent="0.25">
      <c r="D565" s="15" t="s">
        <v>55</v>
      </c>
    </row>
    <row r="566" spans="1:26" ht="13.9" customHeight="1" x14ac:dyDescent="0.25">
      <c r="D566" s="13" t="s">
        <v>294</v>
      </c>
      <c r="E566" s="52" t="s">
        <v>295</v>
      </c>
      <c r="F566" s="30"/>
      <c r="G566" s="118"/>
      <c r="H566" s="118"/>
      <c r="I566" s="118">
        <v>2500</v>
      </c>
      <c r="J566" s="118">
        <v>0</v>
      </c>
      <c r="K566" s="118">
        <v>15500</v>
      </c>
      <c r="L566" s="118"/>
      <c r="M566" s="118"/>
      <c r="N566" s="118"/>
      <c r="O566" s="118"/>
      <c r="P566" s="118">
        <f>K566+SUM(L566:O566)</f>
        <v>15500</v>
      </c>
      <c r="Q566" s="118">
        <v>0</v>
      </c>
      <c r="R566" s="124">
        <f>IFERROR(Q566/$P566,0)</f>
        <v>0</v>
      </c>
      <c r="S566" s="118"/>
      <c r="T566" s="124">
        <f>IFERROR(S566/$P566,0)</f>
        <v>0</v>
      </c>
      <c r="U566" s="118"/>
      <c r="V566" s="124">
        <f>IFERROR(U566/$P566,0)</f>
        <v>0</v>
      </c>
      <c r="W566" s="118"/>
      <c r="X566" s="125">
        <f>IFERROR(W566/$P566,0)</f>
        <v>0</v>
      </c>
      <c r="Y566" s="53"/>
      <c r="Z566" s="56"/>
    </row>
    <row r="567" spans="1:26" ht="13.9" customHeight="1" x14ac:dyDescent="0.25">
      <c r="D567" s="13"/>
      <c r="E567" s="57" t="s">
        <v>296</v>
      </c>
      <c r="F567" s="92"/>
      <c r="G567" s="95"/>
      <c r="H567" s="95"/>
      <c r="I567" s="95">
        <v>40000</v>
      </c>
      <c r="J567" s="95">
        <v>0</v>
      </c>
      <c r="K567" s="95">
        <v>445042</v>
      </c>
      <c r="L567" s="95"/>
      <c r="M567" s="95"/>
      <c r="N567" s="95"/>
      <c r="O567" s="95"/>
      <c r="P567" s="95">
        <f>K567+SUM(L567:O567)</f>
        <v>445042</v>
      </c>
      <c r="Q567" s="95">
        <v>0</v>
      </c>
      <c r="R567" s="96">
        <f>IFERROR(Q567/$P567,0)</f>
        <v>0</v>
      </c>
      <c r="S567" s="95"/>
      <c r="T567" s="96">
        <f>IFERROR(S567/$P567,0)</f>
        <v>0</v>
      </c>
      <c r="U567" s="95"/>
      <c r="V567" s="96">
        <f>IFERROR(U567/$P567,0)</f>
        <v>0</v>
      </c>
      <c r="W567" s="95"/>
      <c r="X567" s="60">
        <f>IFERROR(W567/$P567,0)</f>
        <v>0</v>
      </c>
      <c r="Y567" s="95"/>
      <c r="Z567" s="61"/>
    </row>
    <row r="568" spans="1:26" ht="13.9" hidden="1" customHeight="1" x14ac:dyDescent="0.25">
      <c r="D568" s="13"/>
      <c r="E568" s="65" t="s">
        <v>297</v>
      </c>
      <c r="F568" s="97"/>
      <c r="G568" s="67"/>
      <c r="H568" s="67"/>
      <c r="I568" s="67">
        <v>0</v>
      </c>
      <c r="J568" s="67">
        <v>11088</v>
      </c>
      <c r="K568" s="67"/>
      <c r="L568" s="67"/>
      <c r="M568" s="67"/>
      <c r="N568" s="67"/>
      <c r="O568" s="67"/>
      <c r="P568" s="67">
        <f>K568+SUM(L568:O568)</f>
        <v>0</v>
      </c>
      <c r="Q568" s="67"/>
      <c r="R568" s="68">
        <f>IFERROR(Q568/$P568,0)</f>
        <v>0</v>
      </c>
      <c r="S568" s="67"/>
      <c r="T568" s="68">
        <f>IFERROR(S568/$P568,0)</f>
        <v>0</v>
      </c>
      <c r="U568" s="67"/>
      <c r="V568" s="68">
        <f>IFERROR(U568/$P568,0)</f>
        <v>0</v>
      </c>
      <c r="W568" s="67"/>
      <c r="X568" s="69">
        <f>IFERROR(W568/$P568,0)</f>
        <v>0</v>
      </c>
      <c r="Y568" s="67"/>
      <c r="Z568" s="70"/>
    </row>
    <row r="569" spans="1:26" ht="13.9" customHeight="1" x14ac:dyDescent="0.25">
      <c r="D569" s="43" t="s">
        <v>298</v>
      </c>
      <c r="E569" s="116" t="s">
        <v>299</v>
      </c>
      <c r="F569" s="129"/>
      <c r="G569" s="160"/>
      <c r="H569" s="160"/>
      <c r="I569" s="160">
        <v>10000</v>
      </c>
      <c r="J569" s="160">
        <v>7339</v>
      </c>
      <c r="K569" s="160">
        <v>10000</v>
      </c>
      <c r="L569" s="160"/>
      <c r="M569" s="160"/>
      <c r="N569" s="160"/>
      <c r="O569" s="160"/>
      <c r="P569" s="160">
        <f>K569+SUM(L569:O569)</f>
        <v>10000</v>
      </c>
      <c r="Q569" s="160">
        <v>0</v>
      </c>
      <c r="R569" s="161">
        <f>IFERROR(Q569/$P569,0)</f>
        <v>0</v>
      </c>
      <c r="S569" s="160"/>
      <c r="T569" s="161">
        <f>IFERROR(S569/$P569,0)</f>
        <v>0</v>
      </c>
      <c r="U569" s="160"/>
      <c r="V569" s="161">
        <f>IFERROR(U569/$P569,0)</f>
        <v>0</v>
      </c>
      <c r="W569" s="160"/>
      <c r="X569" s="162">
        <f>IFERROR(W569/$P569,0)</f>
        <v>0</v>
      </c>
      <c r="Y569" s="130"/>
      <c r="Z569" s="133"/>
    </row>
    <row r="571" spans="1:26" ht="13.9" customHeight="1" x14ac:dyDescent="0.25">
      <c r="D571" s="41" t="s">
        <v>300</v>
      </c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2"/>
      <c r="S571" s="41"/>
      <c r="T571" s="42"/>
      <c r="U571" s="41"/>
      <c r="V571" s="42"/>
      <c r="W571" s="41"/>
      <c r="X571" s="42"/>
      <c r="Y571" s="41"/>
      <c r="Z571" s="41"/>
    </row>
    <row r="572" spans="1:26" ht="13.9" customHeight="1" x14ac:dyDescent="0.25">
      <c r="D572" s="149"/>
      <c r="E572" s="21"/>
      <c r="F572" s="21"/>
      <c r="G572" s="21" t="s">
        <v>1</v>
      </c>
      <c r="H572" s="21" t="s">
        <v>2</v>
      </c>
      <c r="I572" s="21" t="s">
        <v>3</v>
      </c>
      <c r="J572" s="21" t="s">
        <v>4</v>
      </c>
      <c r="K572" s="21" t="s">
        <v>5</v>
      </c>
      <c r="L572" s="21" t="s">
        <v>6</v>
      </c>
      <c r="M572" s="21" t="s">
        <v>7</v>
      </c>
      <c r="N572" s="21" t="s">
        <v>8</v>
      </c>
      <c r="O572" s="21" t="s">
        <v>9</v>
      </c>
      <c r="P572" s="21" t="s">
        <v>123</v>
      </c>
      <c r="Q572" s="21" t="s">
        <v>11</v>
      </c>
      <c r="R572" s="22" t="s">
        <v>12</v>
      </c>
      <c r="S572" s="21" t="s">
        <v>13</v>
      </c>
      <c r="T572" s="22" t="s">
        <v>14</v>
      </c>
      <c r="U572" s="21" t="s">
        <v>15</v>
      </c>
      <c r="V572" s="22" t="s">
        <v>16</v>
      </c>
      <c r="W572" s="21" t="s">
        <v>17</v>
      </c>
      <c r="X572" s="22" t="s">
        <v>18</v>
      </c>
      <c r="Y572" s="21" t="s">
        <v>19</v>
      </c>
      <c r="Z572" s="21" t="s">
        <v>20</v>
      </c>
    </row>
    <row r="573" spans="1:26" ht="13.9" hidden="1" customHeight="1" x14ac:dyDescent="0.25">
      <c r="A573" s="15">
        <v>8</v>
      </c>
      <c r="B573" s="15">
        <v>5</v>
      </c>
      <c r="D573" s="13" t="s">
        <v>21</v>
      </c>
      <c r="E573" s="24">
        <v>111</v>
      </c>
      <c r="F573" s="24" t="s">
        <v>45</v>
      </c>
      <c r="G573" s="25">
        <v>0</v>
      </c>
      <c r="H573" s="25">
        <v>150933.32999999999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26">
        <f>IFERROR(Q573/$P573,0)</f>
        <v>0</v>
      </c>
      <c r="S573" s="25">
        <v>0</v>
      </c>
      <c r="T573" s="26">
        <f>IFERROR(S573/$P573,0)</f>
        <v>0</v>
      </c>
      <c r="U573" s="25">
        <v>0</v>
      </c>
      <c r="V573" s="26">
        <f>IFERROR(U573/$P573,0)</f>
        <v>0</v>
      </c>
      <c r="W573" s="25">
        <v>0</v>
      </c>
      <c r="X573" s="26">
        <f>IFERROR(W573/$P573,0)</f>
        <v>0</v>
      </c>
      <c r="Y573" s="25">
        <v>0</v>
      </c>
      <c r="Z573" s="25">
        <v>0</v>
      </c>
    </row>
    <row r="574" spans="1:26" ht="13.9" customHeight="1" x14ac:dyDescent="0.25">
      <c r="A574" s="15">
        <v>8</v>
      </c>
      <c r="B574" s="15">
        <v>5</v>
      </c>
      <c r="D574" s="13"/>
      <c r="E574" s="24">
        <v>41</v>
      </c>
      <c r="F574" s="24" t="s">
        <v>23</v>
      </c>
      <c r="G574" s="25">
        <f t="shared" ref="G574:Q574" si="270">SUM(G578:G584)-G573</f>
        <v>167391.96000000002</v>
      </c>
      <c r="H574" s="25">
        <f t="shared" si="270"/>
        <v>198304.02</v>
      </c>
      <c r="I574" s="25">
        <f t="shared" si="270"/>
        <v>178000</v>
      </c>
      <c r="J574" s="25">
        <f t="shared" si="270"/>
        <v>140076</v>
      </c>
      <c r="K574" s="25">
        <f t="shared" si="270"/>
        <v>276202</v>
      </c>
      <c r="L574" s="25">
        <f t="shared" si="270"/>
        <v>0</v>
      </c>
      <c r="M574" s="25">
        <f t="shared" si="270"/>
        <v>0</v>
      </c>
      <c r="N574" s="25">
        <f t="shared" si="270"/>
        <v>0</v>
      </c>
      <c r="O574" s="25">
        <f t="shared" si="270"/>
        <v>0</v>
      </c>
      <c r="P574" s="25">
        <f t="shared" si="270"/>
        <v>276202</v>
      </c>
      <c r="Q574" s="25">
        <f t="shared" si="270"/>
        <v>0</v>
      </c>
      <c r="R574" s="26">
        <f>IFERROR(Q574/$P574,0)</f>
        <v>0</v>
      </c>
      <c r="S574" s="25">
        <f>SUM(S578:S584)-S573</f>
        <v>0</v>
      </c>
      <c r="T574" s="26">
        <f>IFERROR(S574/$P574,0)</f>
        <v>0</v>
      </c>
      <c r="U574" s="25">
        <f>SUM(U578:U584)-U573</f>
        <v>0</v>
      </c>
      <c r="V574" s="26">
        <f>IFERROR(U574/$P574,0)</f>
        <v>0</v>
      </c>
      <c r="W574" s="25">
        <f>SUM(W578:W584)-W573</f>
        <v>0</v>
      </c>
      <c r="X574" s="26">
        <f>IFERROR(W574/$P574,0)</f>
        <v>0</v>
      </c>
      <c r="Y574" s="25">
        <f>SUM(Y578:Y584)</f>
        <v>0</v>
      </c>
      <c r="Z574" s="25">
        <f>SUM(Z578:Z584)</f>
        <v>665170</v>
      </c>
    </row>
    <row r="575" spans="1:26" ht="13.9" customHeight="1" x14ac:dyDescent="0.25">
      <c r="A575" s="15">
        <v>8</v>
      </c>
      <c r="B575" s="15">
        <v>5</v>
      </c>
      <c r="D575" s="30"/>
      <c r="E575" s="31"/>
      <c r="F575" s="27" t="s">
        <v>126</v>
      </c>
      <c r="G575" s="28">
        <f t="shared" ref="G575:Q575" si="271">SUM(G573:G574)</f>
        <v>167391.96000000002</v>
      </c>
      <c r="H575" s="28">
        <f t="shared" si="271"/>
        <v>349237.35</v>
      </c>
      <c r="I575" s="28">
        <f t="shared" si="271"/>
        <v>178000</v>
      </c>
      <c r="J575" s="28">
        <f t="shared" si="271"/>
        <v>140076</v>
      </c>
      <c r="K575" s="28">
        <f t="shared" si="271"/>
        <v>276202</v>
      </c>
      <c r="L575" s="28">
        <f t="shared" si="271"/>
        <v>0</v>
      </c>
      <c r="M575" s="28">
        <f t="shared" si="271"/>
        <v>0</v>
      </c>
      <c r="N575" s="28">
        <f t="shared" si="271"/>
        <v>0</v>
      </c>
      <c r="O575" s="28">
        <f t="shared" si="271"/>
        <v>0</v>
      </c>
      <c r="P575" s="28">
        <f t="shared" si="271"/>
        <v>276202</v>
      </c>
      <c r="Q575" s="28">
        <f t="shared" si="271"/>
        <v>0</v>
      </c>
      <c r="R575" s="29">
        <f>IFERROR(Q575/$P575,0)</f>
        <v>0</v>
      </c>
      <c r="S575" s="28">
        <f>SUM(S573:S574)</f>
        <v>0</v>
      </c>
      <c r="T575" s="29">
        <f>IFERROR(S575/$P575,0)</f>
        <v>0</v>
      </c>
      <c r="U575" s="28">
        <f>SUM(U573:U574)</f>
        <v>0</v>
      </c>
      <c r="V575" s="29">
        <f>IFERROR(U575/$P575,0)</f>
        <v>0</v>
      </c>
      <c r="W575" s="28">
        <f>SUM(W573:W574)</f>
        <v>0</v>
      </c>
      <c r="X575" s="29">
        <f>IFERROR(W575/$P575,0)</f>
        <v>0</v>
      </c>
      <c r="Y575" s="28">
        <f>SUM(Y573:Y574)</f>
        <v>0</v>
      </c>
      <c r="Z575" s="28">
        <f>SUM(Z573:Z574)</f>
        <v>665170</v>
      </c>
    </row>
    <row r="577" spans="1:26" ht="13.9" customHeight="1" x14ac:dyDescent="0.25">
      <c r="D577" s="15" t="s">
        <v>55</v>
      </c>
    </row>
    <row r="578" spans="1:26" ht="13.9" customHeight="1" x14ac:dyDescent="0.25">
      <c r="D578" s="43" t="s">
        <v>301</v>
      </c>
      <c r="E578" s="116" t="s">
        <v>302</v>
      </c>
      <c r="F578" s="129"/>
      <c r="G578" s="160">
        <v>112331.32</v>
      </c>
      <c r="H578" s="160">
        <v>128332.54</v>
      </c>
      <c r="I578" s="160">
        <v>178000</v>
      </c>
      <c r="J578" s="160">
        <v>129939</v>
      </c>
      <c r="K578" s="160">
        <f>126202+príjmy!H139</f>
        <v>276202</v>
      </c>
      <c r="L578" s="160"/>
      <c r="M578" s="160"/>
      <c r="N578" s="160"/>
      <c r="O578" s="160"/>
      <c r="P578" s="160">
        <f t="shared" ref="P578:P584" si="272">K578+SUM(L578:O578)</f>
        <v>276202</v>
      </c>
      <c r="Q578" s="160">
        <v>0</v>
      </c>
      <c r="R578" s="161">
        <f t="shared" ref="R578:R584" si="273">IFERROR(Q578/$P578,0)</f>
        <v>0</v>
      </c>
      <c r="S578" s="160"/>
      <c r="T578" s="161">
        <f t="shared" ref="T578:T584" si="274">IFERROR(S578/$P578,0)</f>
        <v>0</v>
      </c>
      <c r="U578" s="160"/>
      <c r="V578" s="161">
        <f t="shared" ref="V578:V584" si="275">IFERROR(U578/$P578,0)</f>
        <v>0</v>
      </c>
      <c r="W578" s="160"/>
      <c r="X578" s="162">
        <f t="shared" ref="X578:X584" si="276">IFERROR(W578/$P578,0)</f>
        <v>0</v>
      </c>
      <c r="Y578" s="130"/>
      <c r="Z578" s="133"/>
    </row>
    <row r="579" spans="1:26" ht="13.9" hidden="1" customHeight="1" x14ac:dyDescent="0.25">
      <c r="D579" s="13" t="s">
        <v>303</v>
      </c>
      <c r="E579" s="52" t="s">
        <v>304</v>
      </c>
      <c r="F579" s="30"/>
      <c r="G579" s="53">
        <v>1800</v>
      </c>
      <c r="H579" s="53">
        <v>2604</v>
      </c>
      <c r="I579" s="53"/>
      <c r="J579" s="53"/>
      <c r="K579" s="53"/>
      <c r="L579" s="53"/>
      <c r="M579" s="53"/>
      <c r="N579" s="53"/>
      <c r="O579" s="53"/>
      <c r="P579" s="53">
        <f t="shared" si="272"/>
        <v>0</v>
      </c>
      <c r="Q579" s="53"/>
      <c r="R579" s="54">
        <f t="shared" si="273"/>
        <v>0</v>
      </c>
      <c r="S579" s="53"/>
      <c r="T579" s="54">
        <f t="shared" si="274"/>
        <v>0</v>
      </c>
      <c r="U579" s="53"/>
      <c r="V579" s="54">
        <f t="shared" si="275"/>
        <v>0</v>
      </c>
      <c r="W579" s="53"/>
      <c r="X579" s="55">
        <f t="shared" si="276"/>
        <v>0</v>
      </c>
      <c r="Y579" s="53"/>
      <c r="Z579" s="56"/>
    </row>
    <row r="580" spans="1:26" ht="13.9" hidden="1" customHeight="1" x14ac:dyDescent="0.25">
      <c r="D580" s="13"/>
      <c r="E580" s="57" t="s">
        <v>305</v>
      </c>
      <c r="F580" s="92"/>
      <c r="G580" s="95"/>
      <c r="H580" s="95"/>
      <c r="I580" s="95"/>
      <c r="J580" s="95"/>
      <c r="K580" s="95"/>
      <c r="L580" s="95"/>
      <c r="M580" s="95"/>
      <c r="N580" s="95"/>
      <c r="O580" s="95"/>
      <c r="P580" s="95">
        <f t="shared" si="272"/>
        <v>0</v>
      </c>
      <c r="Q580" s="95"/>
      <c r="R580" s="96">
        <f t="shared" si="273"/>
        <v>0</v>
      </c>
      <c r="S580" s="95"/>
      <c r="T580" s="96">
        <f t="shared" si="274"/>
        <v>0</v>
      </c>
      <c r="U580" s="95"/>
      <c r="V580" s="96">
        <f t="shared" si="275"/>
        <v>0</v>
      </c>
      <c r="W580" s="95"/>
      <c r="X580" s="60">
        <f t="shared" si="276"/>
        <v>0</v>
      </c>
      <c r="Y580" s="95"/>
      <c r="Z580" s="163">
        <v>665170</v>
      </c>
    </row>
    <row r="581" spans="1:26" ht="13.9" hidden="1" customHeight="1" x14ac:dyDescent="0.25">
      <c r="D581" s="13"/>
      <c r="E581" s="57" t="s">
        <v>306</v>
      </c>
      <c r="F581" s="92"/>
      <c r="G581" s="95">
        <v>500</v>
      </c>
      <c r="H581" s="95">
        <v>162238.46</v>
      </c>
      <c r="I581" s="93"/>
      <c r="J581" s="95"/>
      <c r="K581" s="93"/>
      <c r="L581" s="95"/>
      <c r="M581" s="95"/>
      <c r="N581" s="95"/>
      <c r="O581" s="95"/>
      <c r="P581" s="95">
        <f t="shared" si="272"/>
        <v>0</v>
      </c>
      <c r="Q581" s="95"/>
      <c r="R581" s="96">
        <f t="shared" si="273"/>
        <v>0</v>
      </c>
      <c r="S581" s="95"/>
      <c r="T581" s="96">
        <f t="shared" si="274"/>
        <v>0</v>
      </c>
      <c r="U581" s="95"/>
      <c r="V581" s="96">
        <f t="shared" si="275"/>
        <v>0</v>
      </c>
      <c r="W581" s="95"/>
      <c r="X581" s="60">
        <f t="shared" si="276"/>
        <v>0</v>
      </c>
      <c r="Y581" s="93"/>
      <c r="Z581" s="163"/>
    </row>
    <row r="582" spans="1:26" ht="13.9" hidden="1" customHeight="1" x14ac:dyDescent="0.25">
      <c r="D582" s="13"/>
      <c r="E582" s="65" t="s">
        <v>307</v>
      </c>
      <c r="F582" s="97"/>
      <c r="G582" s="67"/>
      <c r="H582" s="67"/>
      <c r="I582" s="120"/>
      <c r="J582" s="67">
        <v>10137</v>
      </c>
      <c r="K582" s="120"/>
      <c r="L582" s="67"/>
      <c r="M582" s="67"/>
      <c r="N582" s="67"/>
      <c r="O582" s="67"/>
      <c r="P582" s="67">
        <f t="shared" si="272"/>
        <v>0</v>
      </c>
      <c r="Q582" s="67"/>
      <c r="R582" s="68">
        <f t="shared" si="273"/>
        <v>0</v>
      </c>
      <c r="S582" s="67"/>
      <c r="T582" s="68">
        <f t="shared" si="274"/>
        <v>0</v>
      </c>
      <c r="U582" s="67"/>
      <c r="V582" s="68">
        <f t="shared" si="275"/>
        <v>0</v>
      </c>
      <c r="W582" s="67"/>
      <c r="X582" s="69">
        <f t="shared" si="276"/>
        <v>0</v>
      </c>
      <c r="Y582" s="120"/>
      <c r="Z582" s="164"/>
    </row>
    <row r="583" spans="1:26" ht="13.9" hidden="1" customHeight="1" x14ac:dyDescent="0.25">
      <c r="D583" s="165" t="s">
        <v>308</v>
      </c>
      <c r="E583" s="116" t="s">
        <v>309</v>
      </c>
      <c r="F583" s="129"/>
      <c r="G583" s="130">
        <v>17482.32</v>
      </c>
      <c r="H583" s="130">
        <v>7487.6</v>
      </c>
      <c r="I583" s="130"/>
      <c r="J583" s="130"/>
      <c r="K583" s="130"/>
      <c r="L583" s="130"/>
      <c r="M583" s="130"/>
      <c r="N583" s="130"/>
      <c r="O583" s="130"/>
      <c r="P583" s="130">
        <f t="shared" si="272"/>
        <v>0</v>
      </c>
      <c r="Q583" s="130"/>
      <c r="R583" s="131">
        <f t="shared" si="273"/>
        <v>0</v>
      </c>
      <c r="S583" s="130"/>
      <c r="T583" s="131">
        <f t="shared" si="274"/>
        <v>0</v>
      </c>
      <c r="U583" s="130"/>
      <c r="V583" s="131">
        <f t="shared" si="275"/>
        <v>0</v>
      </c>
      <c r="W583" s="130"/>
      <c r="X583" s="132">
        <f t="shared" si="276"/>
        <v>0</v>
      </c>
      <c r="Y583" s="130"/>
      <c r="Z583" s="133"/>
    </row>
    <row r="584" spans="1:26" ht="13.9" hidden="1" customHeight="1" x14ac:dyDescent="0.25">
      <c r="D584" s="43" t="s">
        <v>310</v>
      </c>
      <c r="E584" s="166" t="s">
        <v>311</v>
      </c>
      <c r="F584" s="129"/>
      <c r="G584" s="130">
        <v>35278.32</v>
      </c>
      <c r="H584" s="130">
        <v>48574.75</v>
      </c>
      <c r="I584" s="130"/>
      <c r="J584" s="130"/>
      <c r="K584" s="130"/>
      <c r="L584" s="130"/>
      <c r="M584" s="130"/>
      <c r="N584" s="130"/>
      <c r="O584" s="130"/>
      <c r="P584" s="130">
        <f t="shared" si="272"/>
        <v>0</v>
      </c>
      <c r="Q584" s="130"/>
      <c r="R584" s="131">
        <f t="shared" si="273"/>
        <v>0</v>
      </c>
      <c r="S584" s="130"/>
      <c r="T584" s="131">
        <f t="shared" si="274"/>
        <v>0</v>
      </c>
      <c r="U584" s="130"/>
      <c r="V584" s="131">
        <f t="shared" si="275"/>
        <v>0</v>
      </c>
      <c r="W584" s="130"/>
      <c r="X584" s="132">
        <f t="shared" si="276"/>
        <v>0</v>
      </c>
      <c r="Y584" s="129"/>
      <c r="Z584" s="167"/>
    </row>
    <row r="586" spans="1:26" ht="13.9" customHeight="1" x14ac:dyDescent="0.25">
      <c r="D586" s="41" t="s">
        <v>312</v>
      </c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2"/>
      <c r="S586" s="41"/>
      <c r="T586" s="42"/>
      <c r="U586" s="41"/>
      <c r="V586" s="42"/>
      <c r="W586" s="41"/>
      <c r="X586" s="42"/>
      <c r="Y586" s="41"/>
      <c r="Z586" s="41"/>
    </row>
    <row r="587" spans="1:26" ht="13.9" customHeight="1" x14ac:dyDescent="0.25">
      <c r="D587" s="149"/>
      <c r="E587" s="21"/>
      <c r="F587" s="21"/>
      <c r="G587" s="21" t="s">
        <v>1</v>
      </c>
      <c r="H587" s="21" t="s">
        <v>2</v>
      </c>
      <c r="I587" s="21" t="s">
        <v>3</v>
      </c>
      <c r="J587" s="21" t="s">
        <v>4</v>
      </c>
      <c r="K587" s="21" t="s">
        <v>5</v>
      </c>
      <c r="L587" s="21" t="s">
        <v>6</v>
      </c>
      <c r="M587" s="21" t="s">
        <v>7</v>
      </c>
      <c r="N587" s="21" t="s">
        <v>8</v>
      </c>
      <c r="O587" s="21" t="s">
        <v>9</v>
      </c>
      <c r="P587" s="21" t="s">
        <v>123</v>
      </c>
      <c r="Q587" s="21" t="s">
        <v>11</v>
      </c>
      <c r="R587" s="22" t="s">
        <v>12</v>
      </c>
      <c r="S587" s="21" t="s">
        <v>13</v>
      </c>
      <c r="T587" s="22" t="s">
        <v>14</v>
      </c>
      <c r="U587" s="21" t="s">
        <v>15</v>
      </c>
      <c r="V587" s="22" t="s">
        <v>16</v>
      </c>
      <c r="W587" s="21" t="s">
        <v>17</v>
      </c>
      <c r="X587" s="22" t="s">
        <v>18</v>
      </c>
      <c r="Y587" s="21" t="s">
        <v>19</v>
      </c>
      <c r="Z587" s="21" t="s">
        <v>20</v>
      </c>
    </row>
    <row r="588" spans="1:26" ht="13.9" hidden="1" customHeight="1" x14ac:dyDescent="0.25">
      <c r="A588" s="15">
        <v>8</v>
      </c>
      <c r="B588" s="15">
        <v>6</v>
      </c>
      <c r="D588" s="150" t="s">
        <v>21</v>
      </c>
      <c r="E588" s="107">
        <v>111</v>
      </c>
      <c r="F588" s="24" t="s">
        <v>136</v>
      </c>
      <c r="G588" s="25">
        <v>0</v>
      </c>
      <c r="H588" s="25">
        <v>0</v>
      </c>
      <c r="I588" s="25">
        <v>0</v>
      </c>
      <c r="J588" s="25">
        <v>0</v>
      </c>
      <c r="K588" s="46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f>SUM(K588:O588)</f>
        <v>0</v>
      </c>
      <c r="Q588" s="25"/>
      <c r="R588" s="26">
        <f>IFERROR(Q588/$P588,0)</f>
        <v>0</v>
      </c>
      <c r="S588" s="25"/>
      <c r="T588" s="26">
        <f>IFERROR(S588/$P588,0)</f>
        <v>0</v>
      </c>
      <c r="U588" s="25"/>
      <c r="V588" s="26">
        <f>IFERROR(U588/$P588,0)</f>
        <v>0</v>
      </c>
      <c r="W588" s="25"/>
      <c r="X588" s="26">
        <f>IFERROR(W588/$P588,0)</f>
        <v>0</v>
      </c>
      <c r="Y588" s="25">
        <f>SUM(Y593)</f>
        <v>0</v>
      </c>
      <c r="Z588" s="25">
        <f>SUM(Z593)</f>
        <v>0</v>
      </c>
    </row>
    <row r="589" spans="1:26" ht="13.9" customHeight="1" x14ac:dyDescent="0.25">
      <c r="A589" s="15">
        <v>8</v>
      </c>
      <c r="B589" s="15">
        <v>6</v>
      </c>
      <c r="D589" s="1" t="s">
        <v>21</v>
      </c>
      <c r="E589" s="24">
        <v>41</v>
      </c>
      <c r="F589" s="24" t="s">
        <v>23</v>
      </c>
      <c r="G589" s="25">
        <f>SUM(G594:G599)-G588</f>
        <v>51253.74</v>
      </c>
      <c r="H589" s="25">
        <f>SUM(H594:H599)-H588</f>
        <v>98217.63</v>
      </c>
      <c r="I589" s="25">
        <f>SUM(I594:I599)-I588</f>
        <v>30000</v>
      </c>
      <c r="J589" s="25">
        <f>SUM(J594:J599)-J588</f>
        <v>22875</v>
      </c>
      <c r="K589" s="25">
        <f>SUM(K594:K599)-K588-K590</f>
        <v>14000</v>
      </c>
      <c r="L589" s="25">
        <f>SUM(L594:L599)-L588</f>
        <v>0</v>
      </c>
      <c r="M589" s="25">
        <f>SUM(M594:M599)-M588</f>
        <v>0</v>
      </c>
      <c r="N589" s="25">
        <f>SUM(N594:N599)-N588</f>
        <v>0</v>
      </c>
      <c r="O589" s="25">
        <f>SUM(O594:O599)-O588</f>
        <v>0</v>
      </c>
      <c r="P589" s="25">
        <f>SUM(P594:P599)-P588-P590</f>
        <v>14000</v>
      </c>
      <c r="Q589" s="25">
        <f>SUM(Q594:Q599)-Q588</f>
        <v>0</v>
      </c>
      <c r="R589" s="26">
        <f>IFERROR(Q589/$P589,0)</f>
        <v>0</v>
      </c>
      <c r="S589" s="25">
        <f>SUM(S594:S599)-S588</f>
        <v>0</v>
      </c>
      <c r="T589" s="26">
        <f>IFERROR(S589/$P589,0)</f>
        <v>0</v>
      </c>
      <c r="U589" s="25">
        <f>SUM(U594:U599)-U588</f>
        <v>0</v>
      </c>
      <c r="V589" s="26">
        <f>IFERROR(U589/$P589,0)</f>
        <v>0</v>
      </c>
      <c r="W589" s="25">
        <f>SUM(W594:W599)-W588</f>
        <v>0</v>
      </c>
      <c r="X589" s="26">
        <f>IFERROR(W589/$P589,0)</f>
        <v>0</v>
      </c>
      <c r="Y589" s="25">
        <f>SUM(Y594:Y599)-Y588</f>
        <v>0</v>
      </c>
      <c r="Z589" s="25">
        <f>SUM(Z594:Z599)-Z588</f>
        <v>0</v>
      </c>
    </row>
    <row r="590" spans="1:26" ht="13.9" customHeight="1" x14ac:dyDescent="0.25">
      <c r="D590" s="1" t="s">
        <v>21</v>
      </c>
      <c r="E590" s="24">
        <v>71</v>
      </c>
      <c r="F590" s="24" t="s">
        <v>24</v>
      </c>
      <c r="G590" s="25">
        <v>0</v>
      </c>
      <c r="H590" s="25">
        <v>0</v>
      </c>
      <c r="I590" s="25">
        <v>0</v>
      </c>
      <c r="J590" s="25">
        <v>0</v>
      </c>
      <c r="K590" s="25">
        <v>6000</v>
      </c>
      <c r="L590" s="25">
        <v>0</v>
      </c>
      <c r="M590" s="25">
        <v>0</v>
      </c>
      <c r="N590" s="25">
        <v>0</v>
      </c>
      <c r="O590" s="25">
        <v>0</v>
      </c>
      <c r="P590" s="25">
        <f>SUM(K590:O590)</f>
        <v>6000</v>
      </c>
      <c r="Q590" s="25">
        <v>0</v>
      </c>
      <c r="R590" s="26">
        <f>IFERROR(Q590/$P590,0)</f>
        <v>0</v>
      </c>
      <c r="S590" s="25"/>
      <c r="T590" s="26">
        <f>IFERROR(S590/$P590,0)</f>
        <v>0</v>
      </c>
      <c r="U590" s="25"/>
      <c r="V590" s="26">
        <f>IFERROR(U590/$P590,0)</f>
        <v>0</v>
      </c>
      <c r="W590" s="25"/>
      <c r="X590" s="26">
        <f>IFERROR(W590/$P590,0)</f>
        <v>0</v>
      </c>
      <c r="Y590" s="25">
        <v>0</v>
      </c>
      <c r="Z590" s="25">
        <v>0</v>
      </c>
    </row>
    <row r="591" spans="1:26" ht="13.9" customHeight="1" x14ac:dyDescent="0.25">
      <c r="A591" s="15">
        <v>8</v>
      </c>
      <c r="B591" s="15">
        <v>6</v>
      </c>
      <c r="D591" s="30"/>
      <c r="E591" s="31"/>
      <c r="F591" s="27" t="s">
        <v>126</v>
      </c>
      <c r="G591" s="28">
        <f t="shared" ref="G591:Q591" si="277">SUM(G588:G590)</f>
        <v>51253.74</v>
      </c>
      <c r="H591" s="28">
        <f t="shared" si="277"/>
        <v>98217.63</v>
      </c>
      <c r="I591" s="28">
        <f t="shared" si="277"/>
        <v>30000</v>
      </c>
      <c r="J591" s="28">
        <f t="shared" si="277"/>
        <v>22875</v>
      </c>
      <c r="K591" s="28">
        <f t="shared" si="277"/>
        <v>20000</v>
      </c>
      <c r="L591" s="28">
        <f t="shared" si="277"/>
        <v>0</v>
      </c>
      <c r="M591" s="28">
        <f t="shared" si="277"/>
        <v>0</v>
      </c>
      <c r="N591" s="28">
        <f t="shared" si="277"/>
        <v>0</v>
      </c>
      <c r="O591" s="28">
        <f t="shared" si="277"/>
        <v>0</v>
      </c>
      <c r="P591" s="28">
        <f t="shared" si="277"/>
        <v>20000</v>
      </c>
      <c r="Q591" s="28">
        <f t="shared" si="277"/>
        <v>0</v>
      </c>
      <c r="R591" s="29">
        <f>IFERROR(Q591/$P591,0)</f>
        <v>0</v>
      </c>
      <c r="S591" s="28">
        <f>SUM(S588:S590)</f>
        <v>0</v>
      </c>
      <c r="T591" s="29">
        <f>IFERROR(S591/$P591,0)</f>
        <v>0</v>
      </c>
      <c r="U591" s="28">
        <f>SUM(U588:U590)</f>
        <v>0</v>
      </c>
      <c r="V591" s="29">
        <f>IFERROR(U591/$P591,0)</f>
        <v>0</v>
      </c>
      <c r="W591" s="28">
        <f>SUM(W588:W590)</f>
        <v>0</v>
      </c>
      <c r="X591" s="29">
        <f>IFERROR(W591/$P591,0)</f>
        <v>0</v>
      </c>
      <c r="Y591" s="28">
        <f>SUM(Y588:Y590)</f>
        <v>0</v>
      </c>
      <c r="Z591" s="28">
        <f>SUM(Z588:Z590)</f>
        <v>0</v>
      </c>
    </row>
    <row r="593" spans="1:28" ht="13.9" customHeight="1" x14ac:dyDescent="0.25">
      <c r="D593" s="15" t="s">
        <v>55</v>
      </c>
    </row>
    <row r="594" spans="1:28" ht="13.9" hidden="1" customHeight="1" x14ac:dyDescent="0.25">
      <c r="D594" s="13" t="s">
        <v>313</v>
      </c>
      <c r="E594" s="52" t="s">
        <v>314</v>
      </c>
      <c r="F594" s="30"/>
      <c r="G594" s="53">
        <v>15964.89</v>
      </c>
      <c r="H594" s="53">
        <v>5838.17</v>
      </c>
      <c r="I594" s="53"/>
      <c r="J594" s="53"/>
      <c r="K594" s="53"/>
      <c r="L594" s="53"/>
      <c r="M594" s="53"/>
      <c r="N594" s="53"/>
      <c r="O594" s="53"/>
      <c r="P594" s="53">
        <f t="shared" ref="P594:P599" si="278">K594+SUM(L594:O594)</f>
        <v>0</v>
      </c>
      <c r="Q594" s="53"/>
      <c r="R594" s="54">
        <f t="shared" ref="R594:R599" si="279">IFERROR(Q594/$P594,0)</f>
        <v>0</v>
      </c>
      <c r="S594" s="53"/>
      <c r="T594" s="54">
        <f t="shared" ref="T594:T599" si="280">IFERROR(S594/$P594,0)</f>
        <v>0</v>
      </c>
      <c r="U594" s="53"/>
      <c r="V594" s="54">
        <f t="shared" ref="V594:V599" si="281">IFERROR(U594/$P594,0)</f>
        <v>0</v>
      </c>
      <c r="W594" s="53"/>
      <c r="X594" s="55">
        <f t="shared" ref="X594:X599" si="282">IFERROR(W594/$P594,0)</f>
        <v>0</v>
      </c>
      <c r="Y594" s="53"/>
      <c r="Z594" s="56"/>
    </row>
    <row r="595" spans="1:28" ht="13.9" hidden="1" customHeight="1" x14ac:dyDescent="0.25">
      <c r="D595" s="13"/>
      <c r="E595" s="57" t="s">
        <v>315</v>
      </c>
      <c r="F595" s="92"/>
      <c r="G595" s="95"/>
      <c r="H595" s="95">
        <v>21947.46</v>
      </c>
      <c r="I595" s="95"/>
      <c r="J595" s="95"/>
      <c r="K595" s="95"/>
      <c r="L595" s="95"/>
      <c r="M595" s="95"/>
      <c r="N595" s="95"/>
      <c r="O595" s="95"/>
      <c r="P595" s="95">
        <f t="shared" si="278"/>
        <v>0</v>
      </c>
      <c r="Q595" s="95"/>
      <c r="R595" s="96">
        <f t="shared" si="279"/>
        <v>0</v>
      </c>
      <c r="S595" s="95"/>
      <c r="T595" s="96">
        <f t="shared" si="280"/>
        <v>0</v>
      </c>
      <c r="U595" s="95"/>
      <c r="V595" s="96">
        <f t="shared" si="281"/>
        <v>0</v>
      </c>
      <c r="W595" s="95"/>
      <c r="X595" s="60">
        <f t="shared" si="282"/>
        <v>0</v>
      </c>
      <c r="Y595" s="95"/>
      <c r="Z595" s="61"/>
    </row>
    <row r="596" spans="1:28" ht="13.9" customHeight="1" x14ac:dyDescent="0.25">
      <c r="D596" s="13"/>
      <c r="E596" s="168" t="s">
        <v>316</v>
      </c>
      <c r="F596" s="153"/>
      <c r="G596" s="154"/>
      <c r="H596" s="154">
        <v>432</v>
      </c>
      <c r="I596" s="154"/>
      <c r="J596" s="154"/>
      <c r="K596" s="154">
        <v>20000</v>
      </c>
      <c r="L596" s="154"/>
      <c r="M596" s="154"/>
      <c r="N596" s="154"/>
      <c r="O596" s="154"/>
      <c r="P596" s="154">
        <f t="shared" si="278"/>
        <v>20000</v>
      </c>
      <c r="Q596" s="154">
        <v>0</v>
      </c>
      <c r="R596" s="155">
        <f t="shared" si="279"/>
        <v>0</v>
      </c>
      <c r="S596" s="154"/>
      <c r="T596" s="155">
        <f t="shared" si="280"/>
        <v>0</v>
      </c>
      <c r="U596" s="154"/>
      <c r="V596" s="155">
        <f t="shared" si="281"/>
        <v>0</v>
      </c>
      <c r="W596" s="154"/>
      <c r="X596" s="156">
        <f t="shared" si="282"/>
        <v>0</v>
      </c>
      <c r="Y596" s="67"/>
      <c r="Z596" s="70"/>
    </row>
    <row r="597" spans="1:28" ht="13.9" hidden="1" customHeight="1" x14ac:dyDescent="0.25">
      <c r="D597" s="43" t="s">
        <v>317</v>
      </c>
      <c r="E597" s="116" t="s">
        <v>318</v>
      </c>
      <c r="F597" s="129"/>
      <c r="G597" s="130"/>
      <c r="H597" s="130">
        <v>70000</v>
      </c>
      <c r="I597" s="130">
        <v>30000</v>
      </c>
      <c r="J597" s="130">
        <v>22875</v>
      </c>
      <c r="K597" s="130"/>
      <c r="L597" s="130"/>
      <c r="M597" s="130"/>
      <c r="N597" s="130"/>
      <c r="O597" s="130"/>
      <c r="P597" s="130">
        <f t="shared" si="278"/>
        <v>0</v>
      </c>
      <c r="Q597" s="130"/>
      <c r="R597" s="131">
        <f t="shared" si="279"/>
        <v>0</v>
      </c>
      <c r="S597" s="130"/>
      <c r="T597" s="131">
        <f t="shared" si="280"/>
        <v>0</v>
      </c>
      <c r="U597" s="130"/>
      <c r="V597" s="131">
        <f t="shared" si="281"/>
        <v>0</v>
      </c>
      <c r="W597" s="130"/>
      <c r="X597" s="132">
        <f t="shared" si="282"/>
        <v>0</v>
      </c>
      <c r="Y597" s="130"/>
      <c r="Z597" s="133"/>
    </row>
    <row r="598" spans="1:28" ht="13.9" hidden="1" customHeight="1" x14ac:dyDescent="0.25">
      <c r="D598" s="180" t="s">
        <v>319</v>
      </c>
      <c r="E598" s="57" t="s">
        <v>320</v>
      </c>
      <c r="F598" s="92"/>
      <c r="G598" s="95">
        <v>26384.85</v>
      </c>
      <c r="H598" s="95"/>
      <c r="I598" s="95"/>
      <c r="J598" s="95"/>
      <c r="K598" s="95"/>
      <c r="L598" s="95"/>
      <c r="M598" s="95"/>
      <c r="N598" s="95"/>
      <c r="O598" s="95"/>
      <c r="P598" s="53">
        <f t="shared" si="278"/>
        <v>0</v>
      </c>
      <c r="Q598" s="95"/>
      <c r="R598" s="54">
        <f t="shared" si="279"/>
        <v>0</v>
      </c>
      <c r="S598" s="95"/>
      <c r="T598" s="54">
        <f t="shared" si="280"/>
        <v>0</v>
      </c>
      <c r="U598" s="95"/>
      <c r="V598" s="54">
        <f t="shared" si="281"/>
        <v>0</v>
      </c>
      <c r="W598" s="95"/>
      <c r="X598" s="55">
        <f t="shared" si="282"/>
        <v>0</v>
      </c>
      <c r="Y598" s="95"/>
      <c r="Z598" s="61"/>
    </row>
    <row r="599" spans="1:28" ht="13.9" hidden="1" customHeight="1" x14ac:dyDescent="0.25">
      <c r="D599" s="180"/>
      <c r="E599" s="100" t="s">
        <v>321</v>
      </c>
      <c r="F599" s="119"/>
      <c r="G599" s="105">
        <v>8904</v>
      </c>
      <c r="H599" s="105"/>
      <c r="I599" s="105"/>
      <c r="J599" s="105"/>
      <c r="K599" s="105"/>
      <c r="L599" s="105"/>
      <c r="M599" s="105"/>
      <c r="N599" s="105"/>
      <c r="O599" s="105"/>
      <c r="P599" s="105">
        <f t="shared" si="278"/>
        <v>0</v>
      </c>
      <c r="Q599" s="105"/>
      <c r="R599" s="126">
        <f t="shared" si="279"/>
        <v>0</v>
      </c>
      <c r="S599" s="105"/>
      <c r="T599" s="126">
        <f t="shared" si="280"/>
        <v>0</v>
      </c>
      <c r="U599" s="105"/>
      <c r="V599" s="126">
        <f t="shared" si="281"/>
        <v>0</v>
      </c>
      <c r="W599" s="105"/>
      <c r="X599" s="127">
        <f t="shared" si="282"/>
        <v>0</v>
      </c>
      <c r="Y599" s="105"/>
      <c r="Z599" s="106"/>
    </row>
    <row r="601" spans="1:28" ht="13.9" customHeight="1" x14ac:dyDescent="0.25">
      <c r="D601" s="41" t="s">
        <v>322</v>
      </c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2"/>
      <c r="S601" s="41"/>
      <c r="T601" s="42"/>
      <c r="U601" s="41"/>
      <c r="V601" s="42"/>
      <c r="W601" s="41"/>
      <c r="X601" s="42"/>
      <c r="Y601" s="41"/>
      <c r="Z601" s="41"/>
    </row>
    <row r="602" spans="1:28" ht="13.9" customHeight="1" x14ac:dyDescent="0.25">
      <c r="D602" s="149"/>
      <c r="E602" s="21"/>
      <c r="F602" s="21"/>
      <c r="G602" s="21" t="s">
        <v>1</v>
      </c>
      <c r="H602" s="21" t="s">
        <v>2</v>
      </c>
      <c r="I602" s="21" t="s">
        <v>3</v>
      </c>
      <c r="J602" s="21" t="s">
        <v>4</v>
      </c>
      <c r="K602" s="21" t="s">
        <v>5</v>
      </c>
      <c r="L602" s="21" t="s">
        <v>6</v>
      </c>
      <c r="M602" s="21" t="s">
        <v>7</v>
      </c>
      <c r="N602" s="21" t="s">
        <v>8</v>
      </c>
      <c r="O602" s="21" t="s">
        <v>9</v>
      </c>
      <c r="P602" s="21" t="s">
        <v>123</v>
      </c>
      <c r="Q602" s="21" t="s">
        <v>11</v>
      </c>
      <c r="R602" s="22" t="s">
        <v>12</v>
      </c>
      <c r="S602" s="21" t="s">
        <v>13</v>
      </c>
      <c r="T602" s="22" t="s">
        <v>14</v>
      </c>
      <c r="U602" s="21" t="s">
        <v>15</v>
      </c>
      <c r="V602" s="22" t="s">
        <v>16</v>
      </c>
      <c r="W602" s="21" t="s">
        <v>17</v>
      </c>
      <c r="X602" s="22" t="s">
        <v>18</v>
      </c>
      <c r="Y602" s="21" t="s">
        <v>19</v>
      </c>
      <c r="Z602" s="21" t="s">
        <v>20</v>
      </c>
    </row>
    <row r="603" spans="1:28" ht="13.9" customHeight="1" x14ac:dyDescent="0.25">
      <c r="A603" s="15">
        <v>8</v>
      </c>
      <c r="B603" s="15">
        <v>7</v>
      </c>
      <c r="D603" s="13" t="s">
        <v>21</v>
      </c>
      <c r="E603" s="134" t="s">
        <v>323</v>
      </c>
      <c r="F603" s="24" t="s">
        <v>324</v>
      </c>
      <c r="G603" s="25">
        <v>0</v>
      </c>
      <c r="H603" s="25">
        <v>0</v>
      </c>
      <c r="I603" s="25">
        <v>408500</v>
      </c>
      <c r="J603" s="25">
        <v>0</v>
      </c>
      <c r="K603" s="25">
        <f>443831-7656</f>
        <v>436175</v>
      </c>
      <c r="L603" s="25">
        <v>0</v>
      </c>
      <c r="M603" s="25"/>
      <c r="N603" s="25">
        <v>0</v>
      </c>
      <c r="O603" s="25">
        <v>0</v>
      </c>
      <c r="P603" s="25">
        <f>K603+SUM(L603:O603)</f>
        <v>436175</v>
      </c>
      <c r="Q603" s="25">
        <v>161491.31</v>
      </c>
      <c r="R603" s="26">
        <f>IFERROR(Q603/$P603,0)</f>
        <v>0.37024430561127986</v>
      </c>
      <c r="S603" s="25">
        <v>0</v>
      </c>
      <c r="T603" s="26">
        <f>IFERROR(S603/$P603,0)</f>
        <v>0</v>
      </c>
      <c r="U603" s="25">
        <v>0</v>
      </c>
      <c r="V603" s="26">
        <f>IFERROR(U603/$P603,0)</f>
        <v>0</v>
      </c>
      <c r="W603" s="25">
        <v>0</v>
      </c>
      <c r="X603" s="26">
        <f>IFERROR(W603/$P603,0)</f>
        <v>0</v>
      </c>
      <c r="Y603" s="25">
        <v>0</v>
      </c>
      <c r="Z603" s="25">
        <v>0</v>
      </c>
    </row>
    <row r="604" spans="1:28" ht="13.9" customHeight="1" x14ac:dyDescent="0.25">
      <c r="A604" s="15">
        <v>8</v>
      </c>
      <c r="B604" s="15">
        <v>7</v>
      </c>
      <c r="D604" s="13"/>
      <c r="E604" s="24">
        <v>41</v>
      </c>
      <c r="F604" s="24" t="s">
        <v>23</v>
      </c>
      <c r="G604" s="25">
        <f>SUM(G608:G609)</f>
        <v>4000</v>
      </c>
      <c r="H604" s="25">
        <f>SUM(H608:H609)</f>
        <v>10087</v>
      </c>
      <c r="I604" s="25">
        <f t="shared" ref="I604:Q604" si="283">SUM(I608:I609)-I603</f>
        <v>21500</v>
      </c>
      <c r="J604" s="25">
        <f t="shared" si="283"/>
        <v>1500</v>
      </c>
      <c r="K604" s="25">
        <f t="shared" si="283"/>
        <v>30000</v>
      </c>
      <c r="L604" s="25">
        <f t="shared" si="283"/>
        <v>0</v>
      </c>
      <c r="M604" s="25">
        <f t="shared" si="283"/>
        <v>0</v>
      </c>
      <c r="N604" s="25">
        <f t="shared" si="283"/>
        <v>0</v>
      </c>
      <c r="O604" s="25">
        <f t="shared" si="283"/>
        <v>0</v>
      </c>
      <c r="P604" s="25">
        <f t="shared" si="283"/>
        <v>30000</v>
      </c>
      <c r="Q604" s="25">
        <f t="shared" si="283"/>
        <v>1038.6000000000058</v>
      </c>
      <c r="R604" s="26">
        <f>IFERROR(Q604/$P604,0)</f>
        <v>3.4620000000000192E-2</v>
      </c>
      <c r="S604" s="25">
        <f>SUM(S608:S609)-S603</f>
        <v>0</v>
      </c>
      <c r="T604" s="26">
        <f>IFERROR(S604/$P604,0)</f>
        <v>0</v>
      </c>
      <c r="U604" s="25">
        <f>SUM(U608:U609)-U603</f>
        <v>0</v>
      </c>
      <c r="V604" s="26">
        <f>IFERROR(U604/$P604,0)</f>
        <v>0</v>
      </c>
      <c r="W604" s="25">
        <f>SUM(W608:W609)-W603</f>
        <v>0</v>
      </c>
      <c r="X604" s="26">
        <f>IFERROR(W604/$P604,0)</f>
        <v>0</v>
      </c>
      <c r="Y604" s="25">
        <f>SUM(Y608:Y609)-Y603</f>
        <v>0</v>
      </c>
      <c r="Z604" s="25">
        <f>SUM(Z608:Z609)-Z603</f>
        <v>0</v>
      </c>
    </row>
    <row r="605" spans="1:28" ht="13.9" customHeight="1" x14ac:dyDescent="0.25">
      <c r="A605" s="15">
        <v>8</v>
      </c>
      <c r="B605" s="15">
        <v>7</v>
      </c>
      <c r="D605" s="30"/>
      <c r="E605" s="31"/>
      <c r="F605" s="27" t="s">
        <v>126</v>
      </c>
      <c r="G605" s="28">
        <f t="shared" ref="G605:Q605" si="284">SUM(G603:G604)</f>
        <v>4000</v>
      </c>
      <c r="H605" s="28">
        <f t="shared" si="284"/>
        <v>10087</v>
      </c>
      <c r="I605" s="28">
        <f t="shared" si="284"/>
        <v>430000</v>
      </c>
      <c r="J605" s="28">
        <f t="shared" si="284"/>
        <v>1500</v>
      </c>
      <c r="K605" s="28">
        <f t="shared" si="284"/>
        <v>466175</v>
      </c>
      <c r="L605" s="28">
        <f t="shared" si="284"/>
        <v>0</v>
      </c>
      <c r="M605" s="28">
        <f t="shared" si="284"/>
        <v>0</v>
      </c>
      <c r="N605" s="28">
        <f t="shared" si="284"/>
        <v>0</v>
      </c>
      <c r="O605" s="28">
        <f t="shared" si="284"/>
        <v>0</v>
      </c>
      <c r="P605" s="28">
        <f t="shared" si="284"/>
        <v>466175</v>
      </c>
      <c r="Q605" s="28">
        <f t="shared" si="284"/>
        <v>162529.91</v>
      </c>
      <c r="R605" s="29">
        <f>IFERROR(Q605/$P605,0)</f>
        <v>0.34864570172145654</v>
      </c>
      <c r="S605" s="28">
        <f>SUM(S603:S604)</f>
        <v>0</v>
      </c>
      <c r="T605" s="29">
        <f>IFERROR(S605/$P605,0)</f>
        <v>0</v>
      </c>
      <c r="U605" s="28">
        <f>SUM(U603:U604)</f>
        <v>0</v>
      </c>
      <c r="V605" s="29">
        <f>IFERROR(U605/$P605,0)</f>
        <v>0</v>
      </c>
      <c r="W605" s="28">
        <f>SUM(W603:W604)</f>
        <v>0</v>
      </c>
      <c r="X605" s="29">
        <f>IFERROR(W605/$P605,0)</f>
        <v>0</v>
      </c>
      <c r="Y605" s="28">
        <f>SUM(Y603:Y604)</f>
        <v>0</v>
      </c>
      <c r="Z605" s="28">
        <f>SUM(Z603:Z604)</f>
        <v>0</v>
      </c>
    </row>
    <row r="607" spans="1:28" ht="13.9" customHeight="1" x14ac:dyDescent="0.25">
      <c r="D607" s="15" t="s">
        <v>55</v>
      </c>
    </row>
    <row r="608" spans="1:28" ht="13.9" hidden="1" customHeight="1" x14ac:dyDescent="0.25">
      <c r="D608" s="181" t="s">
        <v>325</v>
      </c>
      <c r="E608" s="138" t="s">
        <v>326</v>
      </c>
      <c r="F608" s="139"/>
      <c r="G608" s="169">
        <v>4000</v>
      </c>
      <c r="H608" s="169"/>
      <c r="I608" s="169"/>
      <c r="J608" s="169"/>
      <c r="K608" s="169"/>
      <c r="L608" s="169"/>
      <c r="M608" s="169"/>
      <c r="N608" s="169"/>
      <c r="O608" s="169"/>
      <c r="P608" s="169">
        <f>K608+SUM(L608:O608)</f>
        <v>0</v>
      </c>
      <c r="Q608" s="169"/>
      <c r="R608" s="170">
        <f>IFERROR(Q608/$P608,0)</f>
        <v>0</v>
      </c>
      <c r="S608" s="169"/>
      <c r="T608" s="170">
        <f>IFERROR(S608/$P608,0)</f>
        <v>0</v>
      </c>
      <c r="U608" s="169"/>
      <c r="V608" s="170">
        <f>IFERROR(U608/$P608,0)</f>
        <v>0</v>
      </c>
      <c r="W608" s="169"/>
      <c r="X608" s="171">
        <f>IFERROR(W608/$P608,0)</f>
        <v>0</v>
      </c>
      <c r="Y608" s="140"/>
      <c r="Z608" s="172"/>
      <c r="AB608" s="173"/>
    </row>
    <row r="609" spans="1:28" ht="13.9" customHeight="1" x14ac:dyDescent="0.25">
      <c r="D609" s="181" t="s">
        <v>325</v>
      </c>
      <c r="E609" s="168" t="s">
        <v>327</v>
      </c>
      <c r="F609" s="153"/>
      <c r="G609" s="174"/>
      <c r="H609" s="174">
        <v>10087</v>
      </c>
      <c r="I609" s="174">
        <v>430000</v>
      </c>
      <c r="J609" s="174">
        <v>1500</v>
      </c>
      <c r="K609" s="174">
        <f>30000+443831-7656</f>
        <v>466175</v>
      </c>
      <c r="L609" s="174"/>
      <c r="M609" s="174"/>
      <c r="N609" s="174"/>
      <c r="O609" s="174"/>
      <c r="P609" s="174">
        <f>K609+SUM(L609:O609)</f>
        <v>466175</v>
      </c>
      <c r="Q609" s="174">
        <v>162529.91</v>
      </c>
      <c r="R609" s="175">
        <f>IFERROR(Q609/$P609,0)</f>
        <v>0.34864570172145654</v>
      </c>
      <c r="S609" s="174"/>
      <c r="T609" s="175">
        <f>IFERROR(S609/$P609,0)</f>
        <v>0</v>
      </c>
      <c r="U609" s="174"/>
      <c r="V609" s="175">
        <f>IFERROR(U609/$P609,0)</f>
        <v>0</v>
      </c>
      <c r="W609" s="174"/>
      <c r="X609" s="176">
        <f>IFERROR(W609/$P609,0)</f>
        <v>0</v>
      </c>
      <c r="Y609" s="67"/>
      <c r="Z609" s="70"/>
      <c r="AB609" s="173"/>
    </row>
    <row r="611" spans="1:28" ht="13.9" hidden="1" customHeight="1" x14ac:dyDescent="0.25">
      <c r="A611" s="15" t="s">
        <v>328</v>
      </c>
      <c r="D611" s="41" t="s">
        <v>329</v>
      </c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2"/>
      <c r="S611" s="41"/>
      <c r="T611" s="42"/>
      <c r="U611" s="41"/>
      <c r="V611" s="42"/>
      <c r="W611" s="41"/>
      <c r="X611" s="42"/>
      <c r="Y611" s="41"/>
      <c r="Z611" s="41"/>
    </row>
    <row r="612" spans="1:28" ht="13.9" hidden="1" customHeight="1" x14ac:dyDescent="0.25">
      <c r="D612" s="149"/>
      <c r="E612" s="21"/>
      <c r="F612" s="21"/>
      <c r="G612" s="21" t="s">
        <v>1</v>
      </c>
      <c r="H612" s="21" t="s">
        <v>2</v>
      </c>
      <c r="I612" s="21" t="s">
        <v>3</v>
      </c>
      <c r="J612" s="21" t="s">
        <v>4</v>
      </c>
      <c r="K612" s="21" t="s">
        <v>5</v>
      </c>
      <c r="L612" s="21" t="s">
        <v>6</v>
      </c>
      <c r="M612" s="21" t="s">
        <v>7</v>
      </c>
      <c r="N612" s="21" t="s">
        <v>8</v>
      </c>
      <c r="O612" s="21" t="s">
        <v>9</v>
      </c>
      <c r="P612" s="21" t="s">
        <v>123</v>
      </c>
      <c r="Q612" s="21" t="s">
        <v>11</v>
      </c>
      <c r="R612" s="22" t="s">
        <v>12</v>
      </c>
      <c r="S612" s="21" t="s">
        <v>13</v>
      </c>
      <c r="T612" s="22" t="s">
        <v>14</v>
      </c>
      <c r="U612" s="21" t="s">
        <v>15</v>
      </c>
      <c r="V612" s="22" t="s">
        <v>16</v>
      </c>
      <c r="W612" s="21" t="s">
        <v>17</v>
      </c>
      <c r="X612" s="22" t="s">
        <v>18</v>
      </c>
      <c r="Y612" s="21" t="s">
        <v>19</v>
      </c>
      <c r="Z612" s="21" t="s">
        <v>20</v>
      </c>
    </row>
    <row r="613" spans="1:28" ht="13.9" hidden="1" customHeight="1" x14ac:dyDescent="0.25">
      <c r="A613" s="15">
        <v>8</v>
      </c>
      <c r="B613" s="15">
        <v>8</v>
      </c>
      <c r="D613" s="136" t="s">
        <v>21</v>
      </c>
      <c r="E613" s="24">
        <v>41</v>
      </c>
      <c r="F613" s="24" t="s">
        <v>23</v>
      </c>
      <c r="G613" s="25">
        <f t="shared" ref="G613:Q613" si="285">SUM(G617:G618)</f>
        <v>1884</v>
      </c>
      <c r="H613" s="25">
        <f t="shared" si="285"/>
        <v>8064</v>
      </c>
      <c r="I613" s="25">
        <f t="shared" si="285"/>
        <v>10000</v>
      </c>
      <c r="J613" s="25">
        <f t="shared" si="285"/>
        <v>2348</v>
      </c>
      <c r="K613" s="25">
        <f t="shared" si="285"/>
        <v>0</v>
      </c>
      <c r="L613" s="25">
        <f t="shared" si="285"/>
        <v>0</v>
      </c>
      <c r="M613" s="25">
        <f t="shared" si="285"/>
        <v>0</v>
      </c>
      <c r="N613" s="25">
        <f t="shared" si="285"/>
        <v>0</v>
      </c>
      <c r="O613" s="25">
        <f t="shared" si="285"/>
        <v>0</v>
      </c>
      <c r="P613" s="25">
        <f t="shared" si="285"/>
        <v>0</v>
      </c>
      <c r="Q613" s="25">
        <f t="shared" si="285"/>
        <v>0</v>
      </c>
      <c r="R613" s="26">
        <f>IFERROR(Q613/$P613,0)</f>
        <v>0</v>
      </c>
      <c r="S613" s="25">
        <f>SUM(S617:S618)</f>
        <v>0</v>
      </c>
      <c r="T613" s="26">
        <f>IFERROR(S613/$P613,0)</f>
        <v>0</v>
      </c>
      <c r="U613" s="25">
        <f>SUM(U617:U618)</f>
        <v>0</v>
      </c>
      <c r="V613" s="26">
        <f>IFERROR(U613/$P613,0)</f>
        <v>0</v>
      </c>
      <c r="W613" s="25">
        <f>SUM(W617:W618)</f>
        <v>0</v>
      </c>
      <c r="X613" s="26">
        <f>IFERROR(W613/$P613,0)</f>
        <v>0</v>
      </c>
      <c r="Y613" s="25">
        <f>SUM(Y617:Y618)</f>
        <v>0</v>
      </c>
      <c r="Z613" s="25">
        <f>SUM(Z617:Z618)</f>
        <v>0</v>
      </c>
    </row>
    <row r="614" spans="1:28" ht="13.9" hidden="1" customHeight="1" x14ac:dyDescent="0.25">
      <c r="A614" s="15">
        <v>8</v>
      </c>
      <c r="B614" s="15">
        <v>8</v>
      </c>
      <c r="D614" s="30"/>
      <c r="E614" s="31"/>
      <c r="F614" s="27" t="s">
        <v>126</v>
      </c>
      <c r="G614" s="28">
        <f t="shared" ref="G614:Q614" si="286">SUM(G613)</f>
        <v>1884</v>
      </c>
      <c r="H614" s="28">
        <f t="shared" si="286"/>
        <v>8064</v>
      </c>
      <c r="I614" s="28">
        <f t="shared" si="286"/>
        <v>10000</v>
      </c>
      <c r="J614" s="28">
        <f t="shared" si="286"/>
        <v>2348</v>
      </c>
      <c r="K614" s="28">
        <f t="shared" si="286"/>
        <v>0</v>
      </c>
      <c r="L614" s="28">
        <f t="shared" si="286"/>
        <v>0</v>
      </c>
      <c r="M614" s="28">
        <f t="shared" si="286"/>
        <v>0</v>
      </c>
      <c r="N614" s="28">
        <f t="shared" si="286"/>
        <v>0</v>
      </c>
      <c r="O614" s="28">
        <f t="shared" si="286"/>
        <v>0</v>
      </c>
      <c r="P614" s="28">
        <f t="shared" si="286"/>
        <v>0</v>
      </c>
      <c r="Q614" s="28">
        <f t="shared" si="286"/>
        <v>0</v>
      </c>
      <c r="R614" s="29">
        <f>IFERROR(Q614/$P614,0)</f>
        <v>0</v>
      </c>
      <c r="S614" s="28">
        <f>SUM(S613)</f>
        <v>0</v>
      </c>
      <c r="T614" s="29">
        <f>IFERROR(S614/$P614,0)</f>
        <v>0</v>
      </c>
      <c r="U614" s="28">
        <f>SUM(U613)</f>
        <v>0</v>
      </c>
      <c r="V614" s="29">
        <f>IFERROR(U614/$P614,0)</f>
        <v>0</v>
      </c>
      <c r="W614" s="28">
        <f>SUM(W613)</f>
        <v>0</v>
      </c>
      <c r="X614" s="29">
        <f>IFERROR(W614/$P614,0)</f>
        <v>0</v>
      </c>
      <c r="Y614" s="28">
        <f>SUM(Y613)</f>
        <v>0</v>
      </c>
      <c r="Z614" s="28">
        <f>SUM(Z613)</f>
        <v>0</v>
      </c>
    </row>
    <row r="615" spans="1:28" ht="13.9" hidden="1" customHeight="1" x14ac:dyDescent="0.25"/>
    <row r="616" spans="1:28" ht="13.9" hidden="1" customHeight="1" x14ac:dyDescent="0.25">
      <c r="D616" s="15" t="s">
        <v>55</v>
      </c>
    </row>
    <row r="617" spans="1:28" ht="13.9" hidden="1" customHeight="1" x14ac:dyDescent="0.25">
      <c r="D617" s="182" t="s">
        <v>330</v>
      </c>
      <c r="E617" s="52" t="s">
        <v>331</v>
      </c>
      <c r="F617" s="30"/>
      <c r="G617" s="53">
        <v>1884</v>
      </c>
      <c r="H617" s="53">
        <v>8064</v>
      </c>
      <c r="I617" s="118"/>
      <c r="J617" s="53">
        <v>2348</v>
      </c>
      <c r="K617" s="118"/>
      <c r="L617" s="53"/>
      <c r="M617" s="53"/>
      <c r="N617" s="53"/>
      <c r="O617" s="53"/>
      <c r="P617" s="53">
        <f>K617+SUM(L617:O617)</f>
        <v>0</v>
      </c>
      <c r="Q617" s="53"/>
      <c r="R617" s="54">
        <f>IFERROR(Q617/$P617,0)</f>
        <v>0</v>
      </c>
      <c r="S617" s="53"/>
      <c r="T617" s="54">
        <f>IFERROR(S617/$P617,0)</f>
        <v>0</v>
      </c>
      <c r="U617" s="53"/>
      <c r="V617" s="54">
        <f>IFERROR(U617/$P617,0)</f>
        <v>0</v>
      </c>
      <c r="W617" s="53"/>
      <c r="X617" s="55">
        <f>IFERROR(W617/$P617,0)</f>
        <v>0</v>
      </c>
      <c r="Y617" s="53"/>
      <c r="Z617" s="56"/>
    </row>
    <row r="618" spans="1:28" ht="13.9" hidden="1" customHeight="1" x14ac:dyDescent="0.25">
      <c r="D618" s="182"/>
      <c r="E618" s="65" t="s">
        <v>332</v>
      </c>
      <c r="F618" s="97"/>
      <c r="G618" s="67"/>
      <c r="H618" s="67"/>
      <c r="I618" s="120">
        <v>10000</v>
      </c>
      <c r="J618" s="67"/>
      <c r="K618" s="120"/>
      <c r="L618" s="67"/>
      <c r="M618" s="67"/>
      <c r="N618" s="67"/>
      <c r="O618" s="67"/>
      <c r="P618" s="67">
        <f>K618+SUM(L618:O618)</f>
        <v>0</v>
      </c>
      <c r="Q618" s="67"/>
      <c r="R618" s="68">
        <f>IFERROR(Q618/$P618,0)</f>
        <v>0</v>
      </c>
      <c r="S618" s="67"/>
      <c r="T618" s="68">
        <f>IFERROR(S618/$P618,0)</f>
        <v>0</v>
      </c>
      <c r="U618" s="67"/>
      <c r="V618" s="68">
        <f>IFERROR(U618/$P618,0)</f>
        <v>0</v>
      </c>
      <c r="W618" s="67"/>
      <c r="X618" s="69">
        <f>IFERROR(W618/$P618,0)</f>
        <v>0</v>
      </c>
      <c r="Y618" s="67"/>
      <c r="Z618" s="70"/>
    </row>
    <row r="619" spans="1:28" ht="13.9" hidden="1" customHeight="1" x14ac:dyDescent="0.25"/>
    <row r="620" spans="1:28" ht="13.9" customHeight="1" x14ac:dyDescent="0.25">
      <c r="D620" s="32" t="s">
        <v>333</v>
      </c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3"/>
      <c r="S620" s="32"/>
      <c r="T620" s="33"/>
      <c r="U620" s="32"/>
      <c r="V620" s="33"/>
      <c r="W620" s="32"/>
      <c r="X620" s="33"/>
      <c r="Y620" s="32"/>
      <c r="Z620" s="32"/>
    </row>
    <row r="621" spans="1:28" ht="13.9" customHeight="1" x14ac:dyDescent="0.25">
      <c r="D621" s="20"/>
      <c r="E621" s="20"/>
      <c r="F621" s="20"/>
      <c r="G621" s="21" t="s">
        <v>1</v>
      </c>
      <c r="H621" s="21" t="s">
        <v>2</v>
      </c>
      <c r="I621" s="21" t="s">
        <v>3</v>
      </c>
      <c r="J621" s="21" t="s">
        <v>4</v>
      </c>
      <c r="K621" s="21" t="s">
        <v>5</v>
      </c>
      <c r="L621" s="21" t="s">
        <v>6</v>
      </c>
      <c r="M621" s="21" t="s">
        <v>7</v>
      </c>
      <c r="N621" s="21" t="s">
        <v>8</v>
      </c>
      <c r="O621" s="21" t="s">
        <v>9</v>
      </c>
      <c r="P621" s="21" t="s">
        <v>123</v>
      </c>
      <c r="Q621" s="21" t="s">
        <v>11</v>
      </c>
      <c r="R621" s="22" t="s">
        <v>12</v>
      </c>
      <c r="S621" s="21" t="s">
        <v>13</v>
      </c>
      <c r="T621" s="22" t="s">
        <v>14</v>
      </c>
      <c r="U621" s="21" t="s">
        <v>15</v>
      </c>
      <c r="V621" s="22" t="s">
        <v>16</v>
      </c>
      <c r="W621" s="21" t="s">
        <v>17</v>
      </c>
      <c r="X621" s="22" t="s">
        <v>18</v>
      </c>
      <c r="Y621" s="21" t="s">
        <v>19</v>
      </c>
      <c r="Z621" s="21" t="s">
        <v>20</v>
      </c>
    </row>
    <row r="622" spans="1:28" ht="13.9" customHeight="1" x14ac:dyDescent="0.25">
      <c r="A622" s="15">
        <v>9</v>
      </c>
      <c r="D622" s="34" t="s">
        <v>21</v>
      </c>
      <c r="E622" s="35">
        <v>71</v>
      </c>
      <c r="F622" s="35" t="s">
        <v>24</v>
      </c>
      <c r="G622" s="36">
        <f t="shared" ref="G622:Q622" si="287">G628</f>
        <v>300</v>
      </c>
      <c r="H622" s="36">
        <f t="shared" si="287"/>
        <v>4020</v>
      </c>
      <c r="I622" s="36">
        <f t="shared" si="287"/>
        <v>0</v>
      </c>
      <c r="J622" s="36">
        <f t="shared" si="287"/>
        <v>49900</v>
      </c>
      <c r="K622" s="36">
        <f t="shared" si="287"/>
        <v>6000</v>
      </c>
      <c r="L622" s="36">
        <f t="shared" si="287"/>
        <v>0</v>
      </c>
      <c r="M622" s="36">
        <f t="shared" si="287"/>
        <v>0</v>
      </c>
      <c r="N622" s="36">
        <f t="shared" si="287"/>
        <v>0</v>
      </c>
      <c r="O622" s="36">
        <f t="shared" si="287"/>
        <v>0</v>
      </c>
      <c r="P622" s="36">
        <f t="shared" si="287"/>
        <v>6000</v>
      </c>
      <c r="Q622" s="36">
        <f t="shared" si="287"/>
        <v>47.64</v>
      </c>
      <c r="R622" s="37">
        <f>IFERROR(Q622/$P622,0)</f>
        <v>7.9400000000000009E-3</v>
      </c>
      <c r="S622" s="36">
        <f>S628</f>
        <v>0</v>
      </c>
      <c r="T622" s="37">
        <f>IFERROR(S622/$P622,0)</f>
        <v>0</v>
      </c>
      <c r="U622" s="36">
        <f>U628</f>
        <v>0</v>
      </c>
      <c r="V622" s="37">
        <f>IFERROR(U622/$P622,0)</f>
        <v>0</v>
      </c>
      <c r="W622" s="36">
        <f>W628</f>
        <v>0</v>
      </c>
      <c r="X622" s="37">
        <f>IFERROR(W622/$P622,0)</f>
        <v>0</v>
      </c>
      <c r="Y622" s="36">
        <f>Y628</f>
        <v>0</v>
      </c>
      <c r="Z622" s="36">
        <f>Z628</f>
        <v>0</v>
      </c>
    </row>
    <row r="623" spans="1:28" ht="13.9" customHeight="1" x14ac:dyDescent="0.25">
      <c r="A623" s="15">
        <v>9</v>
      </c>
      <c r="D623" s="30"/>
      <c r="E623" s="31"/>
      <c r="F623" s="38" t="s">
        <v>126</v>
      </c>
      <c r="G623" s="39">
        <f t="shared" ref="G623:Q623" si="288">SUM(G622)</f>
        <v>300</v>
      </c>
      <c r="H623" s="39">
        <f t="shared" si="288"/>
        <v>4020</v>
      </c>
      <c r="I623" s="39">
        <f t="shared" si="288"/>
        <v>0</v>
      </c>
      <c r="J623" s="39">
        <f t="shared" si="288"/>
        <v>49900</v>
      </c>
      <c r="K623" s="39">
        <f t="shared" si="288"/>
        <v>6000</v>
      </c>
      <c r="L623" s="39">
        <f t="shared" si="288"/>
        <v>0</v>
      </c>
      <c r="M623" s="39">
        <f t="shared" si="288"/>
        <v>0</v>
      </c>
      <c r="N623" s="39">
        <f t="shared" si="288"/>
        <v>0</v>
      </c>
      <c r="O623" s="39">
        <f t="shared" si="288"/>
        <v>0</v>
      </c>
      <c r="P623" s="39">
        <f t="shared" si="288"/>
        <v>6000</v>
      </c>
      <c r="Q623" s="39">
        <f t="shared" si="288"/>
        <v>47.64</v>
      </c>
      <c r="R623" s="40">
        <f>IFERROR(Q623/$P623,0)</f>
        <v>7.9400000000000009E-3</v>
      </c>
      <c r="S623" s="39">
        <f>SUM(S622)</f>
        <v>0</v>
      </c>
      <c r="T623" s="40">
        <f>IFERROR(S623/$P623,0)</f>
        <v>0</v>
      </c>
      <c r="U623" s="39">
        <f>SUM(U622)</f>
        <v>0</v>
      </c>
      <c r="V623" s="40">
        <f>IFERROR(U623/$P623,0)</f>
        <v>0</v>
      </c>
      <c r="W623" s="39">
        <f>SUM(W622)</f>
        <v>0</v>
      </c>
      <c r="X623" s="40">
        <f>IFERROR(W623/$P623,0)</f>
        <v>0</v>
      </c>
      <c r="Y623" s="39">
        <f>SUM(Y622)</f>
        <v>0</v>
      </c>
      <c r="Z623" s="39">
        <f>SUM(Z622)</f>
        <v>0</v>
      </c>
    </row>
    <row r="625" spans="1:26" ht="13.9" customHeight="1" x14ac:dyDescent="0.25">
      <c r="D625" s="73" t="s">
        <v>334</v>
      </c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4"/>
      <c r="S625" s="73"/>
      <c r="T625" s="74"/>
      <c r="U625" s="73"/>
      <c r="V625" s="74"/>
      <c r="W625" s="73"/>
      <c r="X625" s="74"/>
      <c r="Y625" s="73"/>
      <c r="Z625" s="73"/>
    </row>
    <row r="626" spans="1:26" ht="13.9" customHeight="1" x14ac:dyDescent="0.25">
      <c r="D626" s="21" t="s">
        <v>32</v>
      </c>
      <c r="E626" s="21" t="s">
        <v>33</v>
      </c>
      <c r="F626" s="21" t="s">
        <v>34</v>
      </c>
      <c r="G626" s="21" t="s">
        <v>1</v>
      </c>
      <c r="H626" s="21" t="s">
        <v>2</v>
      </c>
      <c r="I626" s="21" t="s">
        <v>3</v>
      </c>
      <c r="J626" s="21" t="s">
        <v>4</v>
      </c>
      <c r="K626" s="21" t="s">
        <v>5</v>
      </c>
      <c r="L626" s="21" t="s">
        <v>6</v>
      </c>
      <c r="M626" s="21" t="s">
        <v>7</v>
      </c>
      <c r="N626" s="21" t="s">
        <v>8</v>
      </c>
      <c r="O626" s="21" t="s">
        <v>9</v>
      </c>
      <c r="P626" s="21" t="s">
        <v>123</v>
      </c>
      <c r="Q626" s="21" t="s">
        <v>11</v>
      </c>
      <c r="R626" s="22" t="s">
        <v>12</v>
      </c>
      <c r="S626" s="21" t="s">
        <v>13</v>
      </c>
      <c r="T626" s="22" t="s">
        <v>14</v>
      </c>
      <c r="U626" s="21" t="s">
        <v>15</v>
      </c>
      <c r="V626" s="22" t="s">
        <v>16</v>
      </c>
      <c r="W626" s="21" t="s">
        <v>17</v>
      </c>
      <c r="X626" s="22" t="s">
        <v>18</v>
      </c>
      <c r="Y626" s="21" t="s">
        <v>19</v>
      </c>
      <c r="Z626" s="21" t="s">
        <v>20</v>
      </c>
    </row>
    <row r="627" spans="1:26" ht="13.9" customHeight="1" x14ac:dyDescent="0.25">
      <c r="A627" s="15">
        <v>9</v>
      </c>
      <c r="B627" s="15">
        <v>1</v>
      </c>
      <c r="D627" s="84" t="s">
        <v>130</v>
      </c>
      <c r="E627" s="24">
        <v>810</v>
      </c>
      <c r="F627" s="24" t="s">
        <v>335</v>
      </c>
      <c r="G627" s="25">
        <v>300</v>
      </c>
      <c r="H627" s="25">
        <v>4020</v>
      </c>
      <c r="I627" s="25">
        <v>0</v>
      </c>
      <c r="J627" s="25">
        <v>49900</v>
      </c>
      <c r="K627" s="25">
        <v>6000</v>
      </c>
      <c r="L627" s="25"/>
      <c r="M627" s="25"/>
      <c r="N627" s="25"/>
      <c r="O627" s="25"/>
      <c r="P627" s="25">
        <f>K627+SUM(L627:O627)</f>
        <v>6000</v>
      </c>
      <c r="Q627" s="25">
        <v>47.64</v>
      </c>
      <c r="R627" s="26">
        <f>IFERROR(Q627/$P627,0)</f>
        <v>7.9400000000000009E-3</v>
      </c>
      <c r="S627" s="25"/>
      <c r="T627" s="26">
        <f>IFERROR(S627/$P627,0)</f>
        <v>0</v>
      </c>
      <c r="U627" s="25">
        <v>0</v>
      </c>
      <c r="V627" s="26">
        <f>IFERROR(U627/$P627,0)</f>
        <v>0</v>
      </c>
      <c r="W627" s="25"/>
      <c r="X627" s="26">
        <f>IFERROR(W627/$P627,0)</f>
        <v>0</v>
      </c>
      <c r="Y627" s="25">
        <v>0</v>
      </c>
      <c r="Z627" s="25">
        <v>0</v>
      </c>
    </row>
    <row r="628" spans="1:26" ht="13.9" customHeight="1" x14ac:dyDescent="0.25">
      <c r="A628" s="15">
        <v>9</v>
      </c>
      <c r="B628" s="15">
        <v>1</v>
      </c>
      <c r="D628" s="79" t="s">
        <v>21</v>
      </c>
      <c r="E628" s="48">
        <v>71</v>
      </c>
      <c r="F628" s="48" t="s">
        <v>24</v>
      </c>
      <c r="G628" s="49">
        <f t="shared" ref="G628:Q629" si="289">SUM(G627)</f>
        <v>300</v>
      </c>
      <c r="H628" s="49">
        <f t="shared" si="289"/>
        <v>4020</v>
      </c>
      <c r="I628" s="49">
        <f t="shared" si="289"/>
        <v>0</v>
      </c>
      <c r="J628" s="49">
        <f t="shared" si="289"/>
        <v>49900</v>
      </c>
      <c r="K628" s="49">
        <f t="shared" si="289"/>
        <v>6000</v>
      </c>
      <c r="L628" s="49">
        <f t="shared" si="289"/>
        <v>0</v>
      </c>
      <c r="M628" s="49">
        <f t="shared" si="289"/>
        <v>0</v>
      </c>
      <c r="N628" s="49">
        <f t="shared" si="289"/>
        <v>0</v>
      </c>
      <c r="O628" s="49">
        <f t="shared" si="289"/>
        <v>0</v>
      </c>
      <c r="P628" s="49">
        <f t="shared" si="289"/>
        <v>6000</v>
      </c>
      <c r="Q628" s="49">
        <f t="shared" si="289"/>
        <v>47.64</v>
      </c>
      <c r="R628" s="50">
        <f>IFERROR(Q628/$P628,0)</f>
        <v>7.9400000000000009E-3</v>
      </c>
      <c r="S628" s="49">
        <f>SUM(S627)</f>
        <v>0</v>
      </c>
      <c r="T628" s="50">
        <f>IFERROR(S628/$P628,0)</f>
        <v>0</v>
      </c>
      <c r="U628" s="49">
        <f>SUM(U627)</f>
        <v>0</v>
      </c>
      <c r="V628" s="50">
        <f>IFERROR(U628/$P628,0)</f>
        <v>0</v>
      </c>
      <c r="W628" s="49">
        <f>SUM(W627)</f>
        <v>0</v>
      </c>
      <c r="X628" s="50">
        <f>IFERROR(W628/$P628,0)</f>
        <v>0</v>
      </c>
      <c r="Y628" s="49">
        <f>SUM(Y627)</f>
        <v>0</v>
      </c>
      <c r="Z628" s="49">
        <f>SUM(Z627)</f>
        <v>0</v>
      </c>
    </row>
    <row r="629" spans="1:26" ht="13.9" customHeight="1" x14ac:dyDescent="0.25">
      <c r="A629" s="15">
        <v>9</v>
      </c>
      <c r="B629" s="15">
        <v>1</v>
      </c>
      <c r="D629" s="86"/>
      <c r="E629" s="87"/>
      <c r="F629" s="27" t="s">
        <v>126</v>
      </c>
      <c r="G629" s="28">
        <f t="shared" si="289"/>
        <v>300</v>
      </c>
      <c r="H629" s="28">
        <f t="shared" si="289"/>
        <v>4020</v>
      </c>
      <c r="I629" s="28">
        <f t="shared" si="289"/>
        <v>0</v>
      </c>
      <c r="J629" s="28">
        <f t="shared" si="289"/>
        <v>49900</v>
      </c>
      <c r="K629" s="28">
        <f t="shared" si="289"/>
        <v>6000</v>
      </c>
      <c r="L629" s="28">
        <f t="shared" si="289"/>
        <v>0</v>
      </c>
      <c r="M629" s="28">
        <f t="shared" si="289"/>
        <v>0</v>
      </c>
      <c r="N629" s="28">
        <f t="shared" si="289"/>
        <v>0</v>
      </c>
      <c r="O629" s="28">
        <f t="shared" si="289"/>
        <v>0</v>
      </c>
      <c r="P629" s="28">
        <f t="shared" si="289"/>
        <v>6000</v>
      </c>
      <c r="Q629" s="28">
        <f t="shared" si="289"/>
        <v>47.64</v>
      </c>
      <c r="R629" s="29">
        <f>IFERROR(Q629/$P629,0)</f>
        <v>7.9400000000000009E-3</v>
      </c>
      <c r="S629" s="28">
        <f>SUM(S628)</f>
        <v>0</v>
      </c>
      <c r="T629" s="29">
        <f>IFERROR(S629/$P629,0)</f>
        <v>0</v>
      </c>
      <c r="U629" s="28">
        <f>SUM(U628)</f>
        <v>0</v>
      </c>
      <c r="V629" s="29">
        <f>IFERROR(U629/$P629,0)</f>
        <v>0</v>
      </c>
      <c r="W629" s="28">
        <f>SUM(W628)</f>
        <v>0</v>
      </c>
      <c r="X629" s="29">
        <f>IFERROR(W629/$P629,0)</f>
        <v>0</v>
      </c>
      <c r="Y629" s="28">
        <f>SUM(Y628)</f>
        <v>0</v>
      </c>
      <c r="Z629" s="28">
        <f>SUM(Z628)</f>
        <v>0</v>
      </c>
    </row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5">
    <mergeCell ref="D594:D596"/>
    <mergeCell ref="D598:D599"/>
    <mergeCell ref="D603:D604"/>
    <mergeCell ref="D608:D609"/>
    <mergeCell ref="D617:D618"/>
    <mergeCell ref="D561:D562"/>
    <mergeCell ref="D566:D568"/>
    <mergeCell ref="D573:D574"/>
    <mergeCell ref="D579:D582"/>
    <mergeCell ref="D589:D590"/>
    <mergeCell ref="D503:D504"/>
    <mergeCell ref="D517:D519"/>
    <mergeCell ref="D532:D533"/>
    <mergeCell ref="D537:D545"/>
    <mergeCell ref="D553:D557"/>
    <mergeCell ref="D452:D454"/>
    <mergeCell ref="D459:D461"/>
    <mergeCell ref="D466:D468"/>
    <mergeCell ref="D470:D473"/>
    <mergeCell ref="D487:D490"/>
    <mergeCell ref="D366:D368"/>
    <mergeCell ref="D387:D388"/>
    <mergeCell ref="D404:D406"/>
    <mergeCell ref="D417:D418"/>
    <mergeCell ref="D423:D424"/>
    <mergeCell ref="D314:D315"/>
    <mergeCell ref="D339:D340"/>
    <mergeCell ref="D342:D344"/>
    <mergeCell ref="D352:D353"/>
    <mergeCell ref="D358:D359"/>
    <mergeCell ref="D251:D254"/>
    <mergeCell ref="D259:D261"/>
    <mergeCell ref="D268:D269"/>
    <mergeCell ref="D279:D281"/>
    <mergeCell ref="D291:D292"/>
    <mergeCell ref="D155:D157"/>
    <mergeCell ref="D187:D189"/>
    <mergeCell ref="D196:D199"/>
    <mergeCell ref="D214:D216"/>
    <mergeCell ref="D235:D238"/>
    <mergeCell ref="D122:Z122"/>
    <mergeCell ref="D131:Z131"/>
    <mergeCell ref="D145:Z145"/>
    <mergeCell ref="D147:D149"/>
    <mergeCell ref="D153:Z153"/>
    <mergeCell ref="D87:D89"/>
    <mergeCell ref="D101:Z101"/>
    <mergeCell ref="D107:Z107"/>
    <mergeCell ref="D109:D111"/>
    <mergeCell ref="D113:D116"/>
    <mergeCell ref="D59:Z59"/>
    <mergeCell ref="D61:D63"/>
    <mergeCell ref="D69:Z69"/>
    <mergeCell ref="D71:D72"/>
    <mergeCell ref="D83:Z83"/>
    <mergeCell ref="D34:Z34"/>
    <mergeCell ref="D36:D39"/>
    <mergeCell ref="D45:Z45"/>
    <mergeCell ref="D47:D48"/>
    <mergeCell ref="D50:D53"/>
    <mergeCell ref="D3:D17"/>
    <mergeCell ref="D20:Z20"/>
    <mergeCell ref="D22:D24"/>
    <mergeCell ref="D27:Z27"/>
    <mergeCell ref="D29:D31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3" manualBreakCount="13">
    <brk id="19" max="16383" man="1"/>
    <brk id="94" max="16383" man="1"/>
    <brk id="144" max="16383" man="1"/>
    <brk id="152" max="16383" man="1"/>
    <brk id="184" max="16383" man="1"/>
    <brk id="211" max="16383" man="1"/>
    <brk id="248" max="16383" man="1"/>
    <brk id="323" max="16383" man="1"/>
    <brk id="349" max="16383" man="1"/>
    <brk id="421" max="16383" man="1"/>
    <brk id="449" max="16383" man="1"/>
    <brk id="514" max="16383" man="1"/>
    <brk id="619" max="16383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5"/>
  <sheetViews>
    <sheetView zoomScaleNormal="100" workbookViewId="0"/>
  </sheetViews>
  <sheetFormatPr defaultColWidth="11.5703125" defaultRowHeight="12.75" customHeight="1" x14ac:dyDescent="0.25"/>
  <cols>
    <col min="1" max="1" width="16.42578125" style="177" customWidth="1"/>
    <col min="2" max="2" width="17.5703125" style="177" customWidth="1"/>
    <col min="3" max="64" width="8.7109375" style="178" customWidth="1"/>
  </cols>
  <sheetData>
    <row r="1" spans="1:2" ht="12.75" customHeight="1" x14ac:dyDescent="0.25">
      <c r="A1" s="177" t="s">
        <v>336</v>
      </c>
      <c r="B1" s="177" t="s">
        <v>337</v>
      </c>
    </row>
    <row r="2" spans="1:2" ht="12.75" customHeight="1" x14ac:dyDescent="0.25">
      <c r="A2" s="177" t="s">
        <v>1</v>
      </c>
      <c r="B2" s="177" t="s">
        <v>338</v>
      </c>
    </row>
    <row r="3" spans="1:2" ht="12.75" customHeight="1" x14ac:dyDescent="0.25">
      <c r="A3" s="177" t="s">
        <v>2</v>
      </c>
      <c r="B3" s="177" t="s">
        <v>339</v>
      </c>
    </row>
    <row r="4" spans="1:2" ht="12.75" customHeight="1" x14ac:dyDescent="0.25">
      <c r="A4" s="177" t="s">
        <v>3</v>
      </c>
      <c r="B4" s="177" t="s">
        <v>340</v>
      </c>
    </row>
    <row r="5" spans="1:2" ht="12.75" customHeight="1" x14ac:dyDescent="0.25">
      <c r="A5" s="177" t="s">
        <v>4</v>
      </c>
      <c r="B5" s="177" t="s">
        <v>341</v>
      </c>
    </row>
    <row r="6" spans="1:2" ht="12.75" customHeight="1" x14ac:dyDescent="0.25">
      <c r="A6" s="177" t="s">
        <v>5</v>
      </c>
      <c r="B6" s="177" t="s">
        <v>342</v>
      </c>
    </row>
    <row r="7" spans="1:2" ht="12.75" customHeight="1" x14ac:dyDescent="0.25">
      <c r="A7" s="177" t="s">
        <v>19</v>
      </c>
      <c r="B7" s="177" t="s">
        <v>343</v>
      </c>
    </row>
    <row r="8" spans="1:2" ht="12.75" customHeight="1" x14ac:dyDescent="0.25">
      <c r="A8" s="177" t="s">
        <v>20</v>
      </c>
      <c r="B8" s="177" t="s">
        <v>344</v>
      </c>
    </row>
    <row r="9" spans="1:2" ht="12.75" customHeight="1" x14ac:dyDescent="0.25">
      <c r="A9" s="177" t="s">
        <v>345</v>
      </c>
      <c r="B9" s="177" t="s">
        <v>346</v>
      </c>
    </row>
    <row r="10" spans="1:2" ht="12.75" customHeight="1" x14ac:dyDescent="0.25">
      <c r="A10" s="177" t="s">
        <v>347</v>
      </c>
      <c r="B10" s="177" t="s">
        <v>348</v>
      </c>
    </row>
    <row r="11" spans="1:2" ht="12.75" customHeight="1" x14ac:dyDescent="0.25">
      <c r="A11" s="177" t="s">
        <v>349</v>
      </c>
      <c r="B11" s="177" t="s">
        <v>350</v>
      </c>
    </row>
    <row r="12" spans="1:2" ht="12.75" customHeight="1" x14ac:dyDescent="0.25">
      <c r="A12" s="177" t="s">
        <v>351</v>
      </c>
      <c r="B12" s="177" t="s">
        <v>352</v>
      </c>
    </row>
    <row r="13" spans="1:2" ht="12.75" customHeight="1" x14ac:dyDescent="0.25">
      <c r="A13" s="177" t="s">
        <v>84</v>
      </c>
      <c r="B13" s="177" t="s">
        <v>353</v>
      </c>
    </row>
    <row r="14" spans="1:2" ht="12.75" customHeight="1" x14ac:dyDescent="0.25">
      <c r="A14" s="177" t="s">
        <v>33</v>
      </c>
      <c r="B14" s="177" t="s">
        <v>354</v>
      </c>
    </row>
    <row r="15" spans="1:2" ht="12.75" customHeight="1" x14ac:dyDescent="0.25">
      <c r="A15" s="177" t="s">
        <v>355</v>
      </c>
      <c r="B15" s="177" t="s">
        <v>227</v>
      </c>
    </row>
    <row r="16" spans="1:2" ht="12.75" customHeight="1" x14ac:dyDescent="0.25">
      <c r="A16" s="177" t="s">
        <v>356</v>
      </c>
      <c r="B16" s="177" t="s">
        <v>357</v>
      </c>
    </row>
    <row r="17" spans="1:2" ht="12.75" customHeight="1" x14ac:dyDescent="0.25">
      <c r="A17" s="177" t="s">
        <v>32</v>
      </c>
      <c r="B17" s="177" t="s">
        <v>358</v>
      </c>
    </row>
    <row r="18" spans="1:2" ht="12.75" customHeight="1" x14ac:dyDescent="0.25">
      <c r="A18" s="177" t="s">
        <v>68</v>
      </c>
      <c r="B18" s="177" t="s">
        <v>359</v>
      </c>
    </row>
    <row r="19" spans="1:2" ht="12.75" customHeight="1" x14ac:dyDescent="0.25">
      <c r="A19" s="177" t="s">
        <v>360</v>
      </c>
      <c r="B19" s="177" t="s">
        <v>361</v>
      </c>
    </row>
    <row r="20" spans="1:2" ht="12.75" customHeight="1" x14ac:dyDescent="0.25">
      <c r="A20" s="177" t="s">
        <v>362</v>
      </c>
      <c r="B20" s="177" t="s">
        <v>363</v>
      </c>
    </row>
    <row r="21" spans="1:2" ht="12.75" customHeight="1" x14ac:dyDescent="0.25">
      <c r="A21" s="177" t="s">
        <v>119</v>
      </c>
      <c r="B21" s="177" t="s">
        <v>364</v>
      </c>
    </row>
    <row r="22" spans="1:2" ht="12.75" customHeight="1" x14ac:dyDescent="0.25">
      <c r="A22" s="177" t="s">
        <v>35</v>
      </c>
      <c r="B22" s="177" t="s">
        <v>365</v>
      </c>
    </row>
    <row r="23" spans="1:2" ht="12.75" customHeight="1" x14ac:dyDescent="0.25">
      <c r="A23" s="177" t="s">
        <v>47</v>
      </c>
      <c r="B23" s="177" t="s">
        <v>366</v>
      </c>
    </row>
    <row r="24" spans="1:2" ht="12.75" customHeight="1" x14ac:dyDescent="0.25">
      <c r="A24" s="177" t="s">
        <v>120</v>
      </c>
      <c r="B24" s="177" t="s">
        <v>367</v>
      </c>
    </row>
    <row r="25" spans="1:2" ht="12.75" customHeight="1" x14ac:dyDescent="0.25">
      <c r="A25" s="177" t="s">
        <v>121</v>
      </c>
      <c r="B25" s="177" t="s">
        <v>368</v>
      </c>
    </row>
    <row r="26" spans="1:2" ht="12.75" customHeight="1" x14ac:dyDescent="0.25">
      <c r="A26" s="177" t="s">
        <v>369</v>
      </c>
      <c r="B26" s="177" t="s">
        <v>370</v>
      </c>
    </row>
    <row r="27" spans="1:2" ht="12.75" customHeight="1" x14ac:dyDescent="0.25">
      <c r="A27" s="177" t="s">
        <v>49</v>
      </c>
      <c r="B27" s="177" t="s">
        <v>371</v>
      </c>
    </row>
    <row r="28" spans="1:2" ht="12.75" customHeight="1" x14ac:dyDescent="0.25">
      <c r="A28" s="177" t="s">
        <v>252</v>
      </c>
      <c r="B28" s="177" t="s">
        <v>372</v>
      </c>
    </row>
    <row r="29" spans="1:2" ht="12.75" customHeight="1" x14ac:dyDescent="0.25">
      <c r="B29" s="177" t="s">
        <v>373</v>
      </c>
    </row>
    <row r="30" spans="1:2" ht="12.75" customHeight="1" x14ac:dyDescent="0.25">
      <c r="A30" s="177" t="s">
        <v>374</v>
      </c>
      <c r="B30" s="177" t="s">
        <v>375</v>
      </c>
    </row>
    <row r="31" spans="1:2" ht="12.75" customHeight="1" x14ac:dyDescent="0.25">
      <c r="A31" s="177" t="s">
        <v>376</v>
      </c>
      <c r="B31" s="177" t="s">
        <v>377</v>
      </c>
    </row>
    <row r="32" spans="1:2" ht="12.75" customHeight="1" x14ac:dyDescent="0.25">
      <c r="A32" s="177" t="s">
        <v>378</v>
      </c>
      <c r="B32" s="177" t="s">
        <v>379</v>
      </c>
    </row>
    <row r="33" spans="1:2" ht="15" x14ac:dyDescent="0.25">
      <c r="A33" s="177" t="s">
        <v>380</v>
      </c>
      <c r="B33" s="177" t="s">
        <v>381</v>
      </c>
    </row>
    <row r="34" spans="1:2" ht="15" x14ac:dyDescent="0.25">
      <c r="A34" s="177" t="s">
        <v>382</v>
      </c>
      <c r="B34" s="177" t="s">
        <v>383</v>
      </c>
    </row>
    <row r="35" spans="1:2" ht="15" x14ac:dyDescent="0.25">
      <c r="A35" s="177" t="s">
        <v>384</v>
      </c>
      <c r="B35" s="177" t="s">
        <v>385</v>
      </c>
    </row>
  </sheetData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7366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Matej Tabaček</cp:lastModifiedBy>
  <dcterms:modified xsi:type="dcterms:W3CDTF">2025-05-06T12:51:20Z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 12. 12. 2024 uznesením č. V-19/2024
Podľa návrhu č. 1 z 25. 11. 2024</dc:description>
  <cp:keywords>rozpočet 2025 2026 2027 obec Nesluša schválený</cp:keywords>
  <dc:language>sk-SK</dc:language>
  <cp:lastModifiedBy>Matej Tabaček</cp:lastModifiedBy>
  <cp:lastPrinted>2025-05-06T14:49:08Z</cp:lastPrinted>
  <dcterms:modified xsi:type="dcterms:W3CDTF">2025-05-06T14:48:52Z</dcterms:modified>
  <cp:revision>478</cp:revision>
  <dc:subject>Rozpočet na rok 2025</dc:subject>
  <dc:title>Rozpočet 2025 - 2027 Obec Nesluša</dc:title>
</cp:coreProperties>
</file>